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://luminous/sites/RegA/GRA/2026/Shared Documents/03 - RFIs/CA-NLH-116/"/>
    </mc:Choice>
  </mc:AlternateContent>
  <xr:revisionPtr revIDLastSave="0" documentId="13_ncr:20000001_{16AC0F06-427A-4CDF-8F2D-9E372C364892}" xr6:coauthVersionLast="47" xr6:coauthVersionMax="47" xr10:uidLastSave="{00000000-0000-0000-0000-000000000000}"/>
  <bookViews>
    <workbookView xWindow="-120" yWindow="-120" windowWidth="29040" windowHeight="15720" tabRatio="909" activeTab="1" xr2:uid="{00000000-000D-0000-FFFF-FFFF00000000}"/>
  </bookViews>
  <sheets>
    <sheet name="Schedule F Rev to Cost" sheetId="3" r:id="rId1"/>
    <sheet name="Schedule F IslIntCos" sheetId="2" r:id="rId2"/>
    <sheet name="Schedule G IslIntCos" sheetId="4" r:id="rId3"/>
    <sheet name="Schedule G Rev to Cost" sheetId="5" r:id="rId4"/>
    <sheet name="A) Changes to Customer Costs" sheetId="7" r:id="rId5"/>
    <sheet name="B) Changes to Rev to Cost" sheetId="8" r:id="rId6"/>
  </sheets>
  <externalReferences>
    <externalReference r:id="rId7"/>
    <externalReference r:id="rId8"/>
  </externalReferences>
  <definedNames>
    <definedName name="__123Graph_A" localSheetId="2" hidden="1">#REF!</definedName>
    <definedName name="__123Graph_A" localSheetId="3" hidden="1">#REF!</definedName>
    <definedName name="__123Graph_A" hidden="1">#REF!</definedName>
    <definedName name="__123Graph_ADRR_ECC" localSheetId="2" hidden="1">#REF!</definedName>
    <definedName name="__123Graph_ADRR_ECC" localSheetId="3" hidden="1">#REF!</definedName>
    <definedName name="__123Graph_ADRR_ECC" hidden="1">#REF!</definedName>
    <definedName name="__123Graph_AGDP_N" localSheetId="2" hidden="1">#REF!</definedName>
    <definedName name="__123Graph_AGDP_N" localSheetId="3" hidden="1">#REF!</definedName>
    <definedName name="__123Graph_AGDP_N" hidden="1">#REF!</definedName>
    <definedName name="__123Graph_BDRR_ECC" localSheetId="2" hidden="1">#REF!</definedName>
    <definedName name="__123Graph_BDRR_ECC" localSheetId="3" hidden="1">#REF!</definedName>
    <definedName name="__123Graph_BDRR_ECC" hidden="1">#REF!</definedName>
    <definedName name="__123Graph_X" hidden="1">#REF!</definedName>
    <definedName name="__123Graph_XGDP_N" localSheetId="2" hidden="1">#REF!</definedName>
    <definedName name="__123Graph_XGDP_N" localSheetId="3" hidden="1">#REF!</definedName>
    <definedName name="__123Graph_XGDP_N" hidden="1">#REF!</definedName>
    <definedName name="_Fill" localSheetId="2" hidden="1">#REF!</definedName>
    <definedName name="_Fill" localSheetId="3" hidden="1">#REF!</definedName>
    <definedName name="_Fill" hidden="1">#REF!</definedName>
    <definedName name="_xlnm._FilterDatabase" hidden="1">#REF!</definedName>
    <definedName name="_Key1" localSheetId="2" hidden="1">#REF!</definedName>
    <definedName name="_Key1" localSheetId="3" hidden="1">#REF!</definedName>
    <definedName name="_Key1" hidden="1">#REF!</definedName>
    <definedName name="_key2" localSheetId="2" hidden="1">#REF!</definedName>
    <definedName name="_key2" localSheetId="3" hidden="1">#REF!</definedName>
    <definedName name="_key2" hidden="1">#REF!</definedName>
    <definedName name="_Order1" hidden="1">255</definedName>
    <definedName name="_Order2" hidden="1">255</definedName>
    <definedName name="_Sort" localSheetId="2" hidden="1">#REF!</definedName>
    <definedName name="_Sort" localSheetId="3" hidden="1">#REF!</definedName>
    <definedName name="_Sort" hidden="1">#REF!</definedName>
    <definedName name="aaaa" hidden="1">#REF!</definedName>
    <definedName name="AllocatedMeters" localSheetId="2">#REF!</definedName>
    <definedName name="AllocatedMeters" localSheetId="3">#REF!</definedName>
    <definedName name="AllocatedMeters">#REF!</definedName>
    <definedName name="anscount" hidden="1">1</definedName>
    <definedName name="Appbysys" localSheetId="2">#REF!</definedName>
    <definedName name="Appbysys" localSheetId="3">#REF!</definedName>
    <definedName name="Appbysys">#REF!</definedName>
    <definedName name="ApprenticesGT" localSheetId="2">#REF!</definedName>
    <definedName name="ApprenticesGT" localSheetId="3">#REF!</definedName>
    <definedName name="ApprenticesGT">#REF!</definedName>
    <definedName name="AS2DocOpenMode" hidden="1">"AS2DocumentEdit"</definedName>
    <definedName name="CP_AED_Switch" localSheetId="2">#REF!</definedName>
    <definedName name="CP_AED_Switch" localSheetId="3">[1]RunOptions!$B$16</definedName>
    <definedName name="CP_AED_Switch">[2]RunOptions!$B$16</definedName>
    <definedName name="CUSTOMERS" localSheetId="2">#REF!</definedName>
    <definedName name="CUSTOMERS" localSheetId="3">#REF!</definedName>
    <definedName name="CUSTOMERS">#REF!</definedName>
    <definedName name="EssAliasTable">"Default"</definedName>
    <definedName name="EssOptions">"A1100000000030000000001100000_0000"</definedName>
    <definedName name="ExportTX" localSheetId="2">#REF!</definedName>
    <definedName name="ExportTX" localSheetId="3">[1]RunOptions!$B$17</definedName>
    <definedName name="ExportTX">[2]RunOptions!$B$17</definedName>
    <definedName name="FalloutROE" localSheetId="2">#REF!</definedName>
    <definedName name="FalloutROE" localSheetId="3">#REF!</definedName>
    <definedName name="FalloutROE">#REF!</definedName>
    <definedName name="GenAdmin">#REF!</definedName>
    <definedName name="Holidays" localSheetId="2">#REF!</definedName>
    <definedName name="Holidays" localSheetId="3">#REF!</definedName>
    <definedName name="Holidays">#REF!</definedName>
    <definedName name="HRDCapacityFactor" localSheetId="2">#REF!</definedName>
    <definedName name="HRDCapacityFactor" localSheetId="3">[1]RunOptions!$B$25</definedName>
    <definedName name="HRDCapacityFactor">[2]RunOptions!$B$25</definedName>
    <definedName name="IndexPlant" localSheetId="2">[1]RunOptions!$B$29</definedName>
    <definedName name="IndexPlant" localSheetId="3">[1]RunOptions!$B$29</definedName>
    <definedName name="IndexPlant">[2]RunOptions!$B$29</definedName>
    <definedName name="INS" localSheetId="2">#REF!</definedName>
    <definedName name="INS" localSheetId="3">#REF!</definedName>
    <definedName name="INS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LL_FEATURE" hidden="1">"c2197"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PREMIUM" hidden="1">"c2195"</definedName>
    <definedName name="IQ_CONV_PRICE" hidden="1">"c2193"</definedName>
    <definedName name="IQ_CONV_RATE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XITY" hidden="1">"c2182"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ROSS_SPRD" hidden="1">"c2155"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PARENT" hidden="1">"c2144"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REVISION_DATE_" hidden="1">38804.6174189815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DATE" hidden="1">"c2172"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TW" hidden="1">"c2166"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EV_UFCF" hidden="1">"c2208"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LOW" hidden="1">"c1338"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SLLF" localSheetId="2">#REF!</definedName>
    <definedName name="ISLLF" localSheetId="3">#REF!</definedName>
    <definedName name="ISLLF">#REF!</definedName>
    <definedName name="ISLLOAD" localSheetId="2">#REF!</definedName>
    <definedName name="ISLLOAD" localSheetId="3">#REF!</definedName>
    <definedName name="ISLLOAD">#REF!</definedName>
    <definedName name="LABLF" localSheetId="2">#REF!</definedName>
    <definedName name="LABLF" localSheetId="3">#REF!</definedName>
    <definedName name="LABLF">#REF!</definedName>
    <definedName name="MarginalCostSwitch" localSheetId="2">[1]RunOptions!$B$23</definedName>
    <definedName name="MarginalCostSwitch" localSheetId="3">[1]RunOptions!$B$23</definedName>
    <definedName name="MarginalCostSwitch">[2]RunOptions!$B$23</definedName>
    <definedName name="MunTax" localSheetId="2">#REF!</definedName>
    <definedName name="MunTax" localSheetId="3">#REF!</definedName>
    <definedName name="MunTax">#REF!</definedName>
    <definedName name="NoOne" localSheetId="2">[1]RunOptions!$B$22</definedName>
    <definedName name="NoOne" localSheetId="3">[1]RunOptions!$B$22</definedName>
    <definedName name="NoOne">[2]RunOptions!$B$22</definedName>
    <definedName name="NPPEAK" localSheetId="2">#REF!</definedName>
    <definedName name="NPPEAK" localSheetId="3">#REF!</definedName>
    <definedName name="NPPEAK">#REF!</definedName>
    <definedName name="OAMbySys" localSheetId="2">#REF!</definedName>
    <definedName name="OAMbySys" localSheetId="3">#REF!</definedName>
    <definedName name="OAMbySys">#REF!</definedName>
    <definedName name="OverheadAlloc" localSheetId="2">[1]RunOptions!$B$19</definedName>
    <definedName name="OverheadAlloc" localSheetId="3">[1]RunOptions!$B$19</definedName>
    <definedName name="OverheadAlloc">[2]RunOptions!$B$19</definedName>
    <definedName name="_xlnm.Print_Area" localSheetId="1">'Schedule F IslIntCos'!$D$272:$V$322,'Schedule F IslIntCos'!$AA$272:$AI$322,'Schedule F IslIntCos'!$D$3:$V$58,'Schedule F IslIntCos'!$AA$3:$AI$58,'Schedule F IslIntCos'!$D$61:$V$116,'Schedule F IslIntCos'!$D$220:$V$270,'Schedule F IslIntCos'!$AA$220:$AI$270,'Schedule F IslIntCos'!$D$121:$V$176,'Schedule F IslIntCos'!$D$181:$V$218,'Schedule F IslIntCos'!$AA$181:$AI$218,'Schedule F IslIntCos'!$D$333:$V$387,'Schedule F IslIntCos'!$AA$333:$AI$387,'Schedule F IslIntCos'!$D$389:$V$443,'Schedule F IslIntCos'!$AA$389:$AI$443,'Schedule F IslIntCos'!$D$445:$V$499,'Schedule F IslIntCos'!$AA$445:$AI$499,'Schedule F IslIntCos'!$D$507:$V$554</definedName>
    <definedName name="_xlnm.Print_Area" localSheetId="0">'Schedule F Rev to Cost'!$A$1:$I$238,'Schedule F Rev to Cost'!$A$294:$H$326</definedName>
    <definedName name="_xlnm.Print_Area" localSheetId="2">'Schedule G IslIntCos'!$D$272:$V$322,'Schedule G IslIntCos'!$AA$272:$AI$322,'Schedule G IslIntCos'!$D$3:$V$58,'Schedule G IslIntCos'!$AA$3:$AI$58,'Schedule G IslIntCos'!$D$61:$V$116,'Schedule G IslIntCos'!$D$220:$V$270,'Schedule G IslIntCos'!$AA$220:$AI$270,'Schedule G IslIntCos'!$D$121:$V$176,'Schedule G IslIntCos'!$D$181:$V$218,'Schedule G IslIntCos'!$AA$181:$AI$218,'Schedule G IslIntCos'!$D$333:$V$387,'Schedule G IslIntCos'!$AA$333:$AI$387,'Schedule G IslIntCos'!$D$389:$V$443,'Schedule G IslIntCos'!$AA$389:$AI$443,'Schedule G IslIntCos'!$D$445:$V$499,'Schedule G IslIntCos'!$AA$445:$AI$499,'Schedule G IslIntCos'!$D$507:$V$554</definedName>
    <definedName name="_xlnm.Print_Area" localSheetId="3">'Schedule G Rev to Cost'!$A$1:$I$238,'Schedule G Rev to Cost'!$A$294:$H$326</definedName>
    <definedName name="_xlnm.Print_Titles" localSheetId="1">'Schedule F IslIntCos'!$D:$D</definedName>
    <definedName name="_xlnm.Print_Titles" localSheetId="2">'Schedule G IslIntCos'!$D:$D</definedName>
    <definedName name="PRT_IINT2.1" localSheetId="2">'Schedule G IslIntCos'!$D$272:$V$322</definedName>
    <definedName name="PRT_IINT2.1">'Schedule F IslIntCos'!$D$272:$V$322</definedName>
    <definedName name="Prt_IINT2.1p2" localSheetId="2">'Schedule G IslIntCos'!$AA$272:$AI$322</definedName>
    <definedName name="Prt_IINT2.1p2">'Schedule F IslIntCos'!$AA$272:$AI$322</definedName>
    <definedName name="PRT_IINT2.2" localSheetId="2">'Schedule G IslIntCos'!$D$3:$V$58</definedName>
    <definedName name="PRT_IINT2.2">'Schedule F IslIntCos'!$D$3:$V$58</definedName>
    <definedName name="Prt_IINT2.2p2" localSheetId="2">'Schedule G IslIntCos'!$AA$3:$AI$58</definedName>
    <definedName name="Prt_IINT2.2p2">'Schedule F IslIntCos'!$AA$3:$AI$58</definedName>
    <definedName name="PRT_IINT2.3" localSheetId="2">'Schedule G IslIntCos'!$D$61:$V$116</definedName>
    <definedName name="PRT_IINT2.3">'Schedule F IslIntCos'!$D$61:$V$116</definedName>
    <definedName name="PRT_IINT2.4" localSheetId="2">'Schedule G IslIntCos'!$D$220:$V$270</definedName>
    <definedName name="PRT_IINT2.4">'Schedule F IslIntCos'!$D$220:$V$270</definedName>
    <definedName name="Prt_IINT2.4p2" localSheetId="2">'Schedule G IslIntCos'!$AA$220:$AI$270</definedName>
    <definedName name="Prt_IINT2.4p2">'Schedule F IslIntCos'!$AA$220:$AI$270</definedName>
    <definedName name="PRT_IINT2.5" localSheetId="2">'Schedule G IslIntCos'!$D$121:$V$176</definedName>
    <definedName name="PRT_IINT2.5">'Schedule F IslIntCos'!$D$121:$V$176</definedName>
    <definedName name="PRT_IINT2.6" localSheetId="2">'Schedule G IslIntCos'!$D$181:$V$218</definedName>
    <definedName name="PRT_IINT2.6">'Schedule F IslIntCos'!$D$181:$V$218</definedName>
    <definedName name="Prt_IINT2.6p2" localSheetId="2">'Schedule G IslIntCos'!$AA$181:$AI$218</definedName>
    <definedName name="Prt_IINT2.6p2">'Schedule F IslIntCos'!$AA$181:$AI$218</definedName>
    <definedName name="Prt_IINT3.1p1" localSheetId="2">'Schedule G IslIntCos'!$D$333:$V$387</definedName>
    <definedName name="Prt_IINT3.1p1">'Schedule F IslIntCos'!$D$333:$V$387</definedName>
    <definedName name="Prt_IINT3.1p2" localSheetId="2">'Schedule G IslIntCos'!$AA$333:$AI$387</definedName>
    <definedName name="Prt_IINT3.1p2">'Schedule F IslIntCos'!$AA$333:$AI$387</definedName>
    <definedName name="Prt_IINT3.2p1" localSheetId="2">'Schedule G IslIntCos'!$D$389:$V$443</definedName>
    <definedName name="Prt_IINT3.2p1">'Schedule F IslIntCos'!$D$389:$V$443</definedName>
    <definedName name="Prt_IINT3.2p2" localSheetId="2">'Schedule G IslIntCos'!$AA$389:$AI$443</definedName>
    <definedName name="Prt_IINT3.2p2">'Schedule F IslIntCos'!$AA$389:$AI$443</definedName>
    <definedName name="Prt_IINT3.2p3" localSheetId="2">'Schedule G IslIntCos'!$D$445:$V$499</definedName>
    <definedName name="Prt_IINT3.2p3">'Schedule F IslIntCos'!$D$445:$V$499</definedName>
    <definedName name="Prt_IINT3.2p4" localSheetId="2">'Schedule G IslIntCos'!$AA$445:$AI$499</definedName>
    <definedName name="Prt_IINT3.2p4">'Schedule F IslIntCos'!$AA$445:$AI$499</definedName>
    <definedName name="Prt_IINT3.3" localSheetId="2">'Schedule G IslIntCos'!$D$507:$V$554</definedName>
    <definedName name="Prt_IINT3.3">'Schedule F IslIntCos'!$D$507:$V$554</definedName>
    <definedName name="prt_tot1.2" localSheetId="3">'Schedule G Rev to Cost'!$A$1:$I$238</definedName>
    <definedName name="prt_tot1.2">'Schedule F Rev to Cost'!$A$1:$I$238</definedName>
    <definedName name="PRT_TOT1.2.1" localSheetId="3">'Schedule G Rev to Cost'!$A$294:$H$326</definedName>
    <definedName name="PRT_TOT1.2.1">'Schedule F Rev to Cost'!$A$294:$H$326</definedName>
    <definedName name="PUBAss" localSheetId="2">#REF!</definedName>
    <definedName name="PUBAss" localSheetId="3">#REF!</definedName>
    <definedName name="PUBAss">#REF!</definedName>
    <definedName name="RateRounding" localSheetId="2">#REF!</definedName>
    <definedName name="RateRounding" localSheetId="3">[1]RunOptions!$B$30</definedName>
    <definedName name="RateRounding">[2]RunOptions!$B$30</definedName>
    <definedName name="RatiosIslInt" localSheetId="0">#REF!</definedName>
    <definedName name="RatiosIslInt" localSheetId="2">'Schedule G IslIntCos'!$C$561:$V$598</definedName>
    <definedName name="RatiosIslInt" localSheetId="3">#REF!</definedName>
    <definedName name="RatiosIslInt">'Schedule F IslIntCos'!$C$561:$V$598</definedName>
    <definedName name="RatiosIslIso" localSheetId="2">#REF!</definedName>
    <definedName name="RatiosIslIso" localSheetId="3">#REF!</definedName>
    <definedName name="RatiosIslIso">#REF!</definedName>
    <definedName name="RatiosLabInt" localSheetId="2">#REF!</definedName>
    <definedName name="RatiosLabInt" localSheetId="3">#REF!</definedName>
    <definedName name="RatiosLabInt">#REF!</definedName>
    <definedName name="RatiosLabIso" localSheetId="2">#REF!</definedName>
    <definedName name="RatiosLabIso" localSheetId="3">#REF!</definedName>
    <definedName name="RatiosLabIso">#REF!</definedName>
    <definedName name="RatiosLAL" localSheetId="2">#REF!</definedName>
    <definedName name="RatiosLAL" localSheetId="3">#REF!</definedName>
    <definedName name="RatiosLAL">#REF!</definedName>
    <definedName name="ratiossystem" localSheetId="2">#REF!</definedName>
    <definedName name="ratiossystem" localSheetId="3">#REF!</definedName>
    <definedName name="ratiossystem">#REF!</definedName>
    <definedName name="ROE" localSheetId="2">#REF!</definedName>
    <definedName name="ROE" localSheetId="3">#REF!</definedName>
    <definedName name="ROE">#REF!</definedName>
    <definedName name="Rounding" localSheetId="2">#REF!</definedName>
    <definedName name="Rounding" localSheetId="3">[1]RunOptions!$B$30</definedName>
    <definedName name="Rounding">[2]RunOptions!$B$30</definedName>
    <definedName name="RunMonth" localSheetId="2">#REF!</definedName>
    <definedName name="RunMonth" localSheetId="3">#REF!</definedName>
    <definedName name="RunMonth">#REF!</definedName>
    <definedName name="RunName" localSheetId="2">[1]RunOptions!$B$20</definedName>
    <definedName name="RunName" localSheetId="3">[1]RunOptions!$B$20</definedName>
    <definedName name="RunName">[2]RunOptions!$B$20</definedName>
    <definedName name="RuralMarginSwitch" localSheetId="2">[1]RunOptions!$B$15</definedName>
    <definedName name="RuralMarginSwitch" localSheetId="3">[1]RunOptions!$B$15</definedName>
    <definedName name="RuralMarginSwitch">[2]RunOptions!$B$15</definedName>
    <definedName name="sencount" hidden="1">1</definedName>
    <definedName name="Summary" localSheetId="2">#REF!</definedName>
    <definedName name="Summary" localSheetId="3">#REF!</definedName>
    <definedName name="Summary">#REF!</definedName>
    <definedName name="TestYrSwitch" localSheetId="2">[1]RunOptions!$B$14</definedName>
    <definedName name="TestYrSwitch" localSheetId="3">[1]RunOptions!$B$14</definedName>
    <definedName name="TestYrSwitch">[2]RunOptions!$B$14</definedName>
    <definedName name="wrn.1._.Summaries." localSheetId="0" hidden="1">{"sch1.1",#N/A,TRUE,"Unit Costs";"sch1.2p1",#N/A,TRUE,"Unit Costs";"sch1.2p2",#N/A,TRUE,"Unit Costs";"sch1.2p3",#N/A,TRUE,"Unit Costs";"sch1.2p4",#N/A,TRUE,"Unit Costs";"sch1.2p5",#N/A,TRUE,"Unit Costs";"sch1.2.1p1&amp;2",#N/A,TRUE,"Unit Costs";"sch1.3p1",#N/A,TRUE,"Unit Costs";"sch1.3p2",#N/A,TRUE,"Unit Costs";"sch1.3p3",#N/A,TRUE,"Unit Costs";"sch1.3p4",#N/A,TRUE,"Unit Costs";"sch1.3.1p1",#N/A,TRUE,"Unit Costs";"sch1.3.1p2",#N/A,TRUE,"Unit Costs";"sch1.3.1p3",#N/A,TRUE,"Unit Costs";"sch1.3.1p4",#N/A,TRUE,"Unit Costs";"sch1.3.2p1",#N/A,TRUE,"Unit Costs";"sch1.3.2p2",#N/A,TRUE,"Unit Costs";"sch1.3.2p3",#N/A,TRUE,"Unit Costs";"sch1.3.2p4",#N/A,TRUE,"Unit Costs";"sch1.4",#N/A,TRUE,"Unit Costs"}</definedName>
    <definedName name="wrn.1._.Summaries." localSheetId="2" hidden="1">{"sch1.1",#N/A,TRUE,"Unit Costs";"sch1.2p1",#N/A,TRUE,"Unit Costs";"sch1.2p2",#N/A,TRUE,"Unit Costs";"sch1.2p3",#N/A,TRUE,"Unit Costs";"sch1.2p4",#N/A,TRUE,"Unit Costs";"sch1.2p5",#N/A,TRUE,"Unit Costs";"sch1.2.1p1&amp;2",#N/A,TRUE,"Unit Costs";"sch1.3p1",#N/A,TRUE,"Unit Costs";"sch1.3p2",#N/A,TRUE,"Unit Costs";"sch1.3p3",#N/A,TRUE,"Unit Costs";"sch1.3p4",#N/A,TRUE,"Unit Costs";"sch1.3.1p1",#N/A,TRUE,"Unit Costs";"sch1.3.1p2",#N/A,TRUE,"Unit Costs";"sch1.3.1p3",#N/A,TRUE,"Unit Costs";"sch1.3.1p4",#N/A,TRUE,"Unit Costs";"sch1.3.2p1",#N/A,TRUE,"Unit Costs";"sch1.3.2p2",#N/A,TRUE,"Unit Costs";"sch1.3.2p3",#N/A,TRUE,"Unit Costs";"sch1.3.2p4",#N/A,TRUE,"Unit Costs";"sch1.4",#N/A,TRUE,"Unit Costs"}</definedName>
    <definedName name="wrn.1._.Summaries." localSheetId="3" hidden="1">{"sch1.1",#N/A,TRUE,"Unit Costs";"sch1.2p1",#N/A,TRUE,"Unit Costs";"sch1.2p2",#N/A,TRUE,"Unit Costs";"sch1.2p3",#N/A,TRUE,"Unit Costs";"sch1.2p4",#N/A,TRUE,"Unit Costs";"sch1.2p5",#N/A,TRUE,"Unit Costs";"sch1.2.1p1&amp;2",#N/A,TRUE,"Unit Costs";"sch1.3p1",#N/A,TRUE,"Unit Costs";"sch1.3p2",#N/A,TRUE,"Unit Costs";"sch1.3p3",#N/A,TRUE,"Unit Costs";"sch1.3p4",#N/A,TRUE,"Unit Costs";"sch1.3.1p1",#N/A,TRUE,"Unit Costs";"sch1.3.1p2",#N/A,TRUE,"Unit Costs";"sch1.3.1p3",#N/A,TRUE,"Unit Costs";"sch1.3.1p4",#N/A,TRUE,"Unit Costs";"sch1.3.2p1",#N/A,TRUE,"Unit Costs";"sch1.3.2p2",#N/A,TRUE,"Unit Costs";"sch1.3.2p3",#N/A,TRUE,"Unit Costs";"sch1.3.2p4",#N/A,TRUE,"Unit Costs";"sch1.4",#N/A,TRUE,"Unit Costs"}</definedName>
    <definedName name="wrn.1._.Summaries." hidden="1">{"sch1.1",#N/A,TRUE,"Unit Costs";"sch1.2p1",#N/A,TRUE,"Unit Costs";"sch1.2p2",#N/A,TRUE,"Unit Costs";"sch1.2p3",#N/A,TRUE,"Unit Costs";"sch1.2p4",#N/A,TRUE,"Unit Costs";"sch1.2p5",#N/A,TRUE,"Unit Costs";"sch1.2.1p1&amp;2",#N/A,TRUE,"Unit Costs";"sch1.3p1",#N/A,TRUE,"Unit Costs";"sch1.3p2",#N/A,TRUE,"Unit Costs";"sch1.3p3",#N/A,TRUE,"Unit Costs";"sch1.3p4",#N/A,TRUE,"Unit Costs";"sch1.3.1p1",#N/A,TRUE,"Unit Costs";"sch1.3.1p2",#N/A,TRUE,"Unit Costs";"sch1.3.1p3",#N/A,TRUE,"Unit Costs";"sch1.3.1p4",#N/A,TRUE,"Unit Costs";"sch1.3.2p1",#N/A,TRUE,"Unit Costs";"sch1.3.2p2",#N/A,TRUE,"Unit Costs";"sch1.3.2p3",#N/A,TRUE,"Unit Costs";"sch1.3.2p4",#N/A,TRUE,"Unit Costs";"sch1.4",#N/A,TRUE,"Unit Costs"}</definedName>
    <definedName name="wrn.2._.Island._.Interconnected." localSheetId="0" hidden="1">{"sch2.1A",#N/A,TRUE,"Island Interconnected COS";"sch2.1.1A",#N/A,TRUE,"Island Interconnected COS";"sch2.2Ap1","sch2.2Ap1",TRUE,"Island Interconnected COS";"sch2.2Ap2","sch2.2Ap2",TRUE,"Island Interconnected COS";"sch2.2.1Ap1","sch2.2.1Ap1",TRUE,"Island Interconnected COS";"sch2.2.1Ap2","sch2.2.1Ap2",TRUE,"Island Interconnected COS";"sch2.3Ap1","sch2.3Ap1",TRUE,"Island Interconnected COS";"sch2.3Ap2","sch2.3Ap2",TRUE,"Island Interconnected COS";"sch2.4A",#N/A,TRUE,"Island Interconnected COS";"sch2.4.1A",#N/A,TRUE,"Island Interconnected COS";"sch2.5A",#N/A,TRUE,"Island Interconnected COS";"sch3.1A",#N/A,TRUE,"Island Interconnected COS";"sch3.2A",#N/A,TRUE,"Island Interconnected COS";"sch3.3A",#N/A,TRUE,"Island Interconnected COS"}</definedName>
    <definedName name="wrn.2._.Island._.Interconnected." localSheetId="2" hidden="1">{"sch2.1A",#N/A,TRUE,"Island Interconnected COS";"sch2.1.1A",#N/A,TRUE,"Island Interconnected COS";"sch2.2Ap1","sch2.2Ap1",TRUE,"Island Interconnected COS";"sch2.2Ap2","sch2.2Ap2",TRUE,"Island Interconnected COS";"sch2.2.1Ap1","sch2.2.1Ap1",TRUE,"Island Interconnected COS";"sch2.2.1Ap2","sch2.2.1Ap2",TRUE,"Island Interconnected COS";"sch2.3Ap1","sch2.3Ap1",TRUE,"Island Interconnected COS";"sch2.3Ap2","sch2.3Ap2",TRUE,"Island Interconnected COS";"sch2.4A",#N/A,TRUE,"Island Interconnected COS";"sch2.4.1A",#N/A,TRUE,"Island Interconnected COS";"sch2.5A",#N/A,TRUE,"Island Interconnected COS";"sch3.1A",#N/A,TRUE,"Island Interconnected COS";"sch3.2A",#N/A,TRUE,"Island Interconnected COS";"sch3.3A",#N/A,TRUE,"Island Interconnected COS"}</definedName>
    <definedName name="wrn.2._.Island._.Interconnected." localSheetId="3" hidden="1">{"sch2.1A",#N/A,TRUE,"Island Interconnected COS";"sch2.1.1A",#N/A,TRUE,"Island Interconnected COS";"sch2.2Ap1","sch2.2Ap1",TRUE,"Island Interconnected COS";"sch2.2Ap2","sch2.2Ap2",TRUE,"Island Interconnected COS";"sch2.2.1Ap1","sch2.2.1Ap1",TRUE,"Island Interconnected COS";"sch2.2.1Ap2","sch2.2.1Ap2",TRUE,"Island Interconnected COS";"sch2.3Ap1","sch2.3Ap1",TRUE,"Island Interconnected COS";"sch2.3Ap2","sch2.3Ap2",TRUE,"Island Interconnected COS";"sch2.4A",#N/A,TRUE,"Island Interconnected COS";"sch2.4.1A",#N/A,TRUE,"Island Interconnected COS";"sch2.5A",#N/A,TRUE,"Island Interconnected COS";"sch3.1A",#N/A,TRUE,"Island Interconnected COS";"sch3.2A",#N/A,TRUE,"Island Interconnected COS";"sch3.3A",#N/A,TRUE,"Island Interconnected COS"}</definedName>
    <definedName name="wrn.2._.Island._.Interconnected." hidden="1">{"sch2.1A",#N/A,TRUE,"Island Interconnected COS";"sch2.1.1A",#N/A,TRUE,"Island Interconnected COS";"sch2.2Ap1","sch2.2Ap1",TRUE,"Island Interconnected COS";"sch2.2Ap2","sch2.2Ap2",TRUE,"Island Interconnected COS";"sch2.2.1Ap1","sch2.2.1Ap1",TRUE,"Island Interconnected COS";"sch2.2.1Ap2","sch2.2.1Ap2",TRUE,"Island Interconnected COS";"sch2.3Ap1","sch2.3Ap1",TRUE,"Island Interconnected COS";"sch2.3Ap2","sch2.3Ap2",TRUE,"Island Interconnected COS";"sch2.4A",#N/A,TRUE,"Island Interconnected COS";"sch2.4.1A",#N/A,TRUE,"Island Interconnected COS";"sch2.5A",#N/A,TRUE,"Island Interconnected COS";"sch3.1A",#N/A,TRUE,"Island Interconnected COS";"sch3.2A",#N/A,TRUE,"Island Interconnected COS";"sch3.3A",#N/A,TRUE,"Island Interconnected COS"}</definedName>
    <definedName name="wrn.3._.Isolated._.systems." localSheetId="0" hidden="1">{"sch2.1B",#N/A,TRUE,"Isolated Systems COS";"sch2.1.1B",#N/A,TRUE,"Isolated Systems COS";"sch2.2B",#N/A,TRUE,"Isolated Systems COS";"sch2.2.1B",#N/A,TRUE,"Isolated Systems COS";"sch2.3B",#N/A,TRUE,"Isolated Systems COS";"sch2.4B",#N/A,TRUE,"Isolated Systems COS";"sch2.4.1B",#N/A,TRUE,"Isolated Systems COS";"sch2.5B",#N/A,TRUE,"Isolated Systems COS";"sch3.1B",#N/A,TRUE,"Isolated Systems COS";"sch3.2B",#N/A,TRUE,"Isolated Systems COS"}</definedName>
    <definedName name="wrn.3._.Isolated._.systems." localSheetId="2" hidden="1">{"sch2.1B",#N/A,TRUE,"Isolated Systems COS";"sch2.1.1B",#N/A,TRUE,"Isolated Systems COS";"sch2.2B",#N/A,TRUE,"Isolated Systems COS";"sch2.2.1B",#N/A,TRUE,"Isolated Systems COS";"sch2.3B",#N/A,TRUE,"Isolated Systems COS";"sch2.4B",#N/A,TRUE,"Isolated Systems COS";"sch2.4.1B",#N/A,TRUE,"Isolated Systems COS";"sch2.5B",#N/A,TRUE,"Isolated Systems COS";"sch3.1B",#N/A,TRUE,"Isolated Systems COS";"sch3.2B",#N/A,TRUE,"Isolated Systems COS"}</definedName>
    <definedName name="wrn.3._.Isolated._.systems." localSheetId="3" hidden="1">{"sch2.1B",#N/A,TRUE,"Isolated Systems COS";"sch2.1.1B",#N/A,TRUE,"Isolated Systems COS";"sch2.2B",#N/A,TRUE,"Isolated Systems COS";"sch2.2.1B",#N/A,TRUE,"Isolated Systems COS";"sch2.3B",#N/A,TRUE,"Isolated Systems COS";"sch2.4B",#N/A,TRUE,"Isolated Systems COS";"sch2.4.1B",#N/A,TRUE,"Isolated Systems COS";"sch2.5B",#N/A,TRUE,"Isolated Systems COS";"sch3.1B",#N/A,TRUE,"Isolated Systems COS";"sch3.2B",#N/A,TRUE,"Isolated Systems COS"}</definedName>
    <definedName name="wrn.3._.Isolated._.systems." hidden="1">{"sch2.1B",#N/A,TRUE,"Isolated Systems COS";"sch2.1.1B",#N/A,TRUE,"Isolated Systems COS";"sch2.2B",#N/A,TRUE,"Isolated Systems COS";"sch2.2.1B",#N/A,TRUE,"Isolated Systems COS";"sch2.3B",#N/A,TRUE,"Isolated Systems COS";"sch2.4B",#N/A,TRUE,"Isolated Systems COS";"sch2.4.1B",#N/A,TRUE,"Isolated Systems COS";"sch2.5B",#N/A,TRUE,"Isolated Systems COS";"sch3.1B",#N/A,TRUE,"Isolated Systems COS";"sch3.2B",#N/A,TRUE,"Isolated Systems COS"}</definedName>
    <definedName name="wrn.4._.Labrador._.Interconnected." localSheetId="0" hidden="1">{"sch2.1C",#N/A,TRUE,"Labrador Interconnected COS";"sch2.1.1C",#N/A,TRUE,"Labrador Interconnected COS";"sch2.2C",#N/A,TRUE,"Labrador Interconnected COS";"sch2.2.1C",#N/A,TRUE,"Labrador Interconnected COS";"sch2.3C",#N/A,TRUE,"Labrador Interconnected COS";"sch2.4C",#N/A,TRUE,"Labrador Interconnected COS";"sch2.4.1C",#N/A,TRUE,"Labrador Interconnected COS";"sch2.5C",#N/A,TRUE,"Labrador Interconnected COS";"sch3.1C",#N/A,TRUE,"Labrador Interconnected COS";"sch3.2C",#N/A,TRUE,"Labrador Interconnected COS"}</definedName>
    <definedName name="wrn.4._.Labrador._.Interconnected." localSheetId="2" hidden="1">{"sch2.1C",#N/A,TRUE,"Labrador Interconnected COS";"sch2.1.1C",#N/A,TRUE,"Labrador Interconnected COS";"sch2.2C",#N/A,TRUE,"Labrador Interconnected COS";"sch2.2.1C",#N/A,TRUE,"Labrador Interconnected COS";"sch2.3C",#N/A,TRUE,"Labrador Interconnected COS";"sch2.4C",#N/A,TRUE,"Labrador Interconnected COS";"sch2.4.1C",#N/A,TRUE,"Labrador Interconnected COS";"sch2.5C",#N/A,TRUE,"Labrador Interconnected COS";"sch3.1C",#N/A,TRUE,"Labrador Interconnected COS";"sch3.2C",#N/A,TRUE,"Labrador Interconnected COS"}</definedName>
    <definedName name="wrn.4._.Labrador._.Interconnected." localSheetId="3" hidden="1">{"sch2.1C",#N/A,TRUE,"Labrador Interconnected COS";"sch2.1.1C",#N/A,TRUE,"Labrador Interconnected COS";"sch2.2C",#N/A,TRUE,"Labrador Interconnected COS";"sch2.2.1C",#N/A,TRUE,"Labrador Interconnected COS";"sch2.3C",#N/A,TRUE,"Labrador Interconnected COS";"sch2.4C",#N/A,TRUE,"Labrador Interconnected COS";"sch2.4.1C",#N/A,TRUE,"Labrador Interconnected COS";"sch2.5C",#N/A,TRUE,"Labrador Interconnected COS";"sch3.1C",#N/A,TRUE,"Labrador Interconnected COS";"sch3.2C",#N/A,TRUE,"Labrador Interconnected COS"}</definedName>
    <definedName name="wrn.4._.Labrador._.Interconnected." hidden="1">{"sch2.1C",#N/A,TRUE,"Labrador Interconnected COS";"sch2.1.1C",#N/A,TRUE,"Labrador Interconnected COS";"sch2.2C",#N/A,TRUE,"Labrador Interconnected COS";"sch2.2.1C",#N/A,TRUE,"Labrador Interconnected COS";"sch2.3C",#N/A,TRUE,"Labrador Interconnected COS";"sch2.4C",#N/A,TRUE,"Labrador Interconnected COS";"sch2.4.1C",#N/A,TRUE,"Labrador Interconnected COS";"sch2.5C",#N/A,TRUE,"Labrador Interconnected COS";"sch3.1C",#N/A,TRUE,"Labrador Interconnected COS";"sch3.2C",#N/A,TRUE,"Labrador Interconnected COS"}</definedName>
    <definedName name="wrn.5._.LAnse._.au._.Loup." localSheetId="0" hidden="1">{"sch2.1D",#N/A,TRUE,"LAnse au Loup COS";"sch2.1.1D",#N/A,TRUE,"LAnse au Loup COS";"sch2.2D",#N/A,TRUE,"LAnse au Loup COS";"sch2.2.1D",#N/A,TRUE,"LAnse au Loup COS";"sch2.3D",#N/A,TRUE,"LAnse au Loup COS";"sch2.4D",#N/A,TRUE,"LAnse au Loup COS";"sch2.4.1D",#N/A,TRUE,"LAnse au Loup COS";"sch2.5D",#N/A,TRUE,"LAnse au Loup COS";"sch3.1D",#N/A,TRUE,"LAnse au Loup COS";"sch3.2D",#N/A,TRUE,"LAnse au Loup COS"}</definedName>
    <definedName name="wrn.5._.LAnse._.au._.Loup." localSheetId="2" hidden="1">{"sch2.1D",#N/A,TRUE,"LAnse au Loup COS";"sch2.1.1D",#N/A,TRUE,"LAnse au Loup COS";"sch2.2D",#N/A,TRUE,"LAnse au Loup COS";"sch2.2.1D",#N/A,TRUE,"LAnse au Loup COS";"sch2.3D",#N/A,TRUE,"LAnse au Loup COS";"sch2.4D",#N/A,TRUE,"LAnse au Loup COS";"sch2.4.1D",#N/A,TRUE,"LAnse au Loup COS";"sch2.5D",#N/A,TRUE,"LAnse au Loup COS";"sch3.1D",#N/A,TRUE,"LAnse au Loup COS";"sch3.2D",#N/A,TRUE,"LAnse au Loup COS"}</definedName>
    <definedName name="wrn.5._.LAnse._.au._.Loup." localSheetId="3" hidden="1">{"sch2.1D",#N/A,TRUE,"LAnse au Loup COS";"sch2.1.1D",#N/A,TRUE,"LAnse au Loup COS";"sch2.2D",#N/A,TRUE,"LAnse au Loup COS";"sch2.2.1D",#N/A,TRUE,"LAnse au Loup COS";"sch2.3D",#N/A,TRUE,"LAnse au Loup COS";"sch2.4D",#N/A,TRUE,"LAnse au Loup COS";"sch2.4.1D",#N/A,TRUE,"LAnse au Loup COS";"sch2.5D",#N/A,TRUE,"LAnse au Loup COS";"sch3.1D",#N/A,TRUE,"LAnse au Loup COS";"sch3.2D",#N/A,TRUE,"LAnse au Loup COS"}</definedName>
    <definedName name="wrn.5._.LAnse._.au._.Loup." hidden="1">{"sch2.1D",#N/A,TRUE,"LAnse au Loup COS";"sch2.1.1D",#N/A,TRUE,"LAnse au Loup COS";"sch2.2D",#N/A,TRUE,"LAnse au Loup COS";"sch2.2.1D",#N/A,TRUE,"LAnse au Loup COS";"sch2.3D",#N/A,TRUE,"LAnse au Loup COS";"sch2.4D",#N/A,TRUE,"LAnse au Loup COS";"sch2.4.1D",#N/A,TRUE,"LAnse au Loup COS";"sch2.5D",#N/A,TRUE,"LAnse au Loup COS";"sch3.1D",#N/A,TRUE,"LAnse au Loup COS";"sch3.2D",#N/A,TRUE,"LAnse au Loup COS"}</definedName>
    <definedName name="wrn.6._.Generation._.and._.Trans._.AED._.Factors." localSheetId="0" hidden="1">{"sch4.1p1",#N/A,TRUE,"Schedule 4.3";"sch4.1p2",#N/A,TRUE,"Schedule 4.3";"sch4.1p3",#N/A,TRUE,"Schedule 4.3";"sch4.1p4",#N/A,TRUE,"Schedule 4.3";"sch4.2p1",#N/A,TRUE,"Schedule 4.3";"sch4.2p2",#N/A,TRUE,"Schedule 4.3";"sch4.2p3",#N/A,TRUE,"Schedule 4.3";"sch4.2p4",#N/A,TRUE,"Schedule 4.3";"sch4.3",#N/A,TRUE,"Schedule 4.3"}</definedName>
    <definedName name="wrn.6._.Generation._.and._.Trans._.AED._.Factors." localSheetId="2" hidden="1">{"sch4.1p1",#N/A,TRUE,"Schedule 4.3";"sch4.1p2",#N/A,TRUE,"Schedule 4.3";"sch4.1p3",#N/A,TRUE,"Schedule 4.3";"sch4.1p4",#N/A,TRUE,"Schedule 4.3";"sch4.2p1",#N/A,TRUE,"Schedule 4.3";"sch4.2p2",#N/A,TRUE,"Schedule 4.3";"sch4.2p3",#N/A,TRUE,"Schedule 4.3";"sch4.2p4",#N/A,TRUE,"Schedule 4.3";"sch4.3",#N/A,TRUE,"Schedule 4.3"}</definedName>
    <definedName name="wrn.6._.Generation._.and._.Trans._.AED._.Factors." localSheetId="3" hidden="1">{"sch4.1p1",#N/A,TRUE,"Schedule 4.3";"sch4.1p2",#N/A,TRUE,"Schedule 4.3";"sch4.1p3",#N/A,TRUE,"Schedule 4.3";"sch4.1p4",#N/A,TRUE,"Schedule 4.3";"sch4.2p1",#N/A,TRUE,"Schedule 4.3";"sch4.2p2",#N/A,TRUE,"Schedule 4.3";"sch4.2p3",#N/A,TRUE,"Schedule 4.3";"sch4.2p4",#N/A,TRUE,"Schedule 4.3";"sch4.3",#N/A,TRUE,"Schedule 4.3"}</definedName>
    <definedName name="wrn.6._.Generation._.and._.Trans._.AED._.Factors." hidden="1">{"sch4.1p1",#N/A,TRUE,"Schedule 4.3";"sch4.1p2",#N/A,TRUE,"Schedule 4.3";"sch4.1p3",#N/A,TRUE,"Schedule 4.3";"sch4.1p4",#N/A,TRUE,"Schedule 4.3";"sch4.2p1",#N/A,TRUE,"Schedule 4.3";"sch4.2p2",#N/A,TRUE,"Schedule 4.3";"sch4.2p3",#N/A,TRUE,"Schedule 4.3";"sch4.2p4",#N/A,TRUE,"Schedule 4.3";"sch4.3",#N/A,TRUE,"Schedule 4.3"}</definedName>
    <definedName name="wrn.6._.Other." localSheetId="0" hidden="1">{"sch4.1p1",#N/A,TRUE,"Unassigned Sched - Customers";"sch4.1p2",#N/A,TRUE,"Unassigned Sched - Customers";"sch4.1p3",#N/A,TRUE,"Unassigned Sched - Customers";"sch4.1p4",#N/A,TRUE,"Unassigned Sched - Customers";"sch5.1",#N/A,TRUE,"Unassigned Sched - Customers";"sch5.2",#N/A,TRUE,"Unassigned Sched - Customers";"sch5.3",#N/A,TRUE,"Unassigned Sched - Customers";"CustIslInt",#N/A,TRUE,"Unassigned Sched - Customers";"CustIso",#N/A,TRUE,"Unassigned Sched - Customers";"CustLabInt",#N/A,TRUE,"Unassigned Sched - Customers";"CustLaL",#N/A,TRUE,"Unassigned Sched - Customers"}</definedName>
    <definedName name="wrn.6._.Other." localSheetId="2" hidden="1">{"sch4.1p1",#N/A,TRUE,"Unassigned Sched - Customers";"sch4.1p2",#N/A,TRUE,"Unassigned Sched - Customers";"sch4.1p3",#N/A,TRUE,"Unassigned Sched - Customers";"sch4.1p4",#N/A,TRUE,"Unassigned Sched - Customers";"sch5.1",#N/A,TRUE,"Unassigned Sched - Customers";"sch5.2",#N/A,TRUE,"Unassigned Sched - Customers";"sch5.3",#N/A,TRUE,"Unassigned Sched - Customers";"CustIslInt",#N/A,TRUE,"Unassigned Sched - Customers";"CustIso",#N/A,TRUE,"Unassigned Sched - Customers";"CustLabInt",#N/A,TRUE,"Unassigned Sched - Customers";"CustLaL",#N/A,TRUE,"Unassigned Sched - Customers"}</definedName>
    <definedName name="wrn.6._.Other." localSheetId="3" hidden="1">{"sch4.1p1",#N/A,TRUE,"Unassigned Sched - Customers";"sch4.1p2",#N/A,TRUE,"Unassigned Sched - Customers";"sch4.1p3",#N/A,TRUE,"Unassigned Sched - Customers";"sch4.1p4",#N/A,TRUE,"Unassigned Sched - Customers";"sch5.1",#N/A,TRUE,"Unassigned Sched - Customers";"sch5.2",#N/A,TRUE,"Unassigned Sched - Customers";"sch5.3",#N/A,TRUE,"Unassigned Sched - Customers";"CustIslInt",#N/A,TRUE,"Unassigned Sched - Customers";"CustIso",#N/A,TRUE,"Unassigned Sched - Customers";"CustLabInt",#N/A,TRUE,"Unassigned Sched - Customers";"CustLaL",#N/A,TRUE,"Unassigned Sched - Customers"}</definedName>
    <definedName name="wrn.6._.Other." hidden="1">{"sch4.1p1",#N/A,TRUE,"Unassigned Sched - Customers";"sch4.1p2",#N/A,TRUE,"Unassigned Sched - Customers";"sch4.1p3",#N/A,TRUE,"Unassigned Sched - Customers";"sch4.1p4",#N/A,TRUE,"Unassigned Sched - Customers";"sch5.1",#N/A,TRUE,"Unassigned Sched - Customers";"sch5.2",#N/A,TRUE,"Unassigned Sched - Customers";"sch5.3",#N/A,TRUE,"Unassigned Sched - Customers";"CustIslInt",#N/A,TRUE,"Unassigned Sched - Customers";"CustIso",#N/A,TRUE,"Unassigned Sched - Customers";"CustLabInt",#N/A,TRUE,"Unassigned Sched - Customers";"CustLaL",#N/A,TRUE,"Unassigned Sched - Customers"}</definedName>
    <definedName name="wrn.COS." localSheetId="0" hidden="1">{"sch1.1",#N/A,TRUE,"Island Interconnected COS";"sch1.2p1",#N/A,TRUE,"Island Interconnected COS";"sch1.2p2",#N/A,TRUE,"Island Interconnected COS";"sch1.2p3",#N/A,TRUE,"Island Interconnected COS";"sch1.2p4",#N/A,TRUE,"Island Interconnected COS";"sch1.2p5",#N/A,TRUE,"Island Interconnected COS";"sch1.2.1p1&amp;2",#N/A,TRUE,"Island Interconnected COS";"sch1.2.2p1&amp;2",#N/A,TRUE,"Island Interconnected COS";"sch1.3p1",#N/A,TRUE,"Island Interconnected COS";"sch1.3p2",#N/A,TRUE,"Island Interconnected COS";"sch1.3p3",#N/A,TRUE,"Island Interconnected COS";"sch1.3p4",#N/A,TRUE,"Island Interconnected COS";"sch1.3.1p1",#N/A,TRUE,"Island Interconnected COS";"sch1.3.1p2",#N/A,TRUE,"Island Interconnected COS";"sch1.3.1p3",#N/A,TRUE,"Island Interconnected COS";"sch1.3.1p4",#N/A,TRUE,"Island Interconnected COS";"sch1.3.2p1",#N/A,TRUE,"Island Interconnected COS";"sch1.3.2p2",#N/A,TRUE,"Island Interconnected COS";"sch1.3.2p3",#N/A,TRUE,"Island Interconnected COS";"sch1.3.2p4",#N/A,TRUE,"Island Interconnected COS";"sch1.4",#N/A,TRUE,"Island Interconnected COS";"sch2.1A",#N/A,TRUE,"Schedule 4.3";"sch2.1.1A",#N/A,TRUE,"Island Interconnected COS";"sch2.2Ap1","sch2.2Ap1",TRUE,"Island Interconnected COS";"sch2.2Ap2","sch2.2Ap2",TRUE,"Island Interconnected COS";"sch2.2.1Ap1`","sch2.2.1Ap1",TRUE,"Island Interconnected COS";"sch2.2.1Ap2","sch2.2.1Ap2",TRUE,"Island Interconnected COS";"sch2.3Ap1","sch2.3Ap1",TRUE,"Island Interconnected COS";"sch2.3Ap2","sch2.3Ap2",TRUE,"Island Interconnected COS";"sch2.4Ap1","sch2.4Ap1",TRUE,"Island Interconnected COS";"sch2.4Ap2","sch2.4Ap2",TRUE,"Island Interconnected COS";"sch2.4.1A",#N/A,TRUE,"Island Interconnected COS";"sch2.5A",#N/A,TRUE,"Island Interconnected COS";"sch3.1A",#N/A,TRUE,"Island Interconnected COS";"sch3.2A",#N/A,TRUE,"Island Interconnected COS";"sch3.3A",#N/A,TRUE,"Island Interconnected COS";"sch2.1B",#N/A,TRUE,"Schedule 4.3";"sch2.1.1B",#N/A,TRUE,"Island Interconnected COS";"sch2.2B",#N/A,TRUE,"Island Interconnected COS";"sch2.2.1B",#N/A,TRUE,"Island Interconnected COS";"sch2.3B",#N/A,TRUE,"Island Interconnected COS";"sch2.4B",#N/A,TRUE,"Island Interconnected COS";"sch2.4.1B",#N/A,TRUE,"Island Interconnected COS";"sch2.5B",#N/A,TRUE,"Island Interconnected COS";"sch3.1B",#N/A,TRUE,"Island Interconnected COS";"sch3.2B",#N/A,TRUE,"Island Interconnected COS";"sch2.1C",#N/A,TRUE,"Schedule 4.3";"sch2.1.1C",#N/A,TRUE,"Island Interconnected COS";"sch2.2C",#N/A,TRUE,"Island Interconnected COS";"sch2.2.1C",#N/A,TRUE,"Island Interconnected COS";"sch2.3C",#N/A,TRUE,"Island Interconnected COS";"sch2.4C",#N/A,TRUE,"Island Interconnected COS";"sch2.4.1Cp1","sch2.4.1Cp1",TRUE,"Labrador Interconnected COS";"sch2.4.1Cp2","sch2.4.1Cp2",TRUE,"Labrador Interconnected COS";"sch2.5C",#N/A,TRUE,"Labrador Interconnected COS";"sch3.1C",#N/A,TRUE,"Labrador Interconnected COS";"sch3.2Cp1","sch3.2Cp1",TRUE,"Labrador Interconnected COS";"sch2.1D",#N/A,TRUE,"Schedule 4.3";"sch3.2Cp2","sch3.2Cp2",TRUE,"Labrador Interconnected COS";"sch2.1.1D",#N/A,TRUE,"Island Interconnected COS";"sch2.2D",#N/A,TRUE,"Island Interconnected COS";"sch2.2.1D",#N/A,TRUE,"Island Interconnected COS";"sch2.3D",#N/A,TRUE,"Island Interconnected COS";"sch2.4D",#N/A,TRUE,"Island Interconnected COS";"sch2.4.1D",#N/A,TRUE,"Island Interconnected COS";"sch2.5D",#N/A,TRUE,"Island Interconnected COS";"sch3.1D",#N/A,TRUE,"Island Interconnected COS";"sch3.2D",#N/A,TRUE,"Island Interconnected COS";"sch4.1p1",#N/A,TRUE,"Island Interconnected COS";"sch4.1p2",#N/A,TRUE,"Island Interconnected COS";"sch4.1p3",#N/A,TRUE,"Island Interconnected COS";"sch4.1p4",#N/A,TRUE,"Island Interconnected COS";"sch4.2p1",#N/A,TRUE,"Island Interconnected COS";"sch4.2p2",#N/A,TRUE,"Island Interconnected COS";"sch4.2p3",#N/A,TRUE,"Island Interconnected COS";"sch4.2p4",#N/A,TRUE,"Island Interconnected COS";"sch4.3",#N/A,TRUE,"Schedule 4.3"}</definedName>
    <definedName name="wrn.COS." localSheetId="2" hidden="1">{"sch1.1",#N/A,TRUE,"Island Interconnected COS";"sch1.2p1",#N/A,TRUE,"Island Interconnected COS";"sch1.2p2",#N/A,TRUE,"Island Interconnected COS";"sch1.2p3",#N/A,TRUE,"Island Interconnected COS";"sch1.2p4",#N/A,TRUE,"Island Interconnected COS";"sch1.2p5",#N/A,TRUE,"Island Interconnected COS";"sch1.2.1p1&amp;2",#N/A,TRUE,"Island Interconnected COS";"sch1.2.2p1&amp;2",#N/A,TRUE,"Island Interconnected COS";"sch1.3p1",#N/A,TRUE,"Island Interconnected COS";"sch1.3p2",#N/A,TRUE,"Island Interconnected COS";"sch1.3p3",#N/A,TRUE,"Island Interconnected COS";"sch1.3p4",#N/A,TRUE,"Island Interconnected COS";"sch1.3.1p1",#N/A,TRUE,"Island Interconnected COS";"sch1.3.1p2",#N/A,TRUE,"Island Interconnected COS";"sch1.3.1p3",#N/A,TRUE,"Island Interconnected COS";"sch1.3.1p4",#N/A,TRUE,"Island Interconnected COS";"sch1.3.2p1",#N/A,TRUE,"Island Interconnected COS";"sch1.3.2p2",#N/A,TRUE,"Island Interconnected COS";"sch1.3.2p3",#N/A,TRUE,"Island Interconnected COS";"sch1.3.2p4",#N/A,TRUE,"Island Interconnected COS";"sch1.4",#N/A,TRUE,"Island Interconnected COS";"sch2.1A",#N/A,TRUE,"Schedule 4.3";"sch2.1.1A",#N/A,TRUE,"Island Interconnected COS";"sch2.2Ap1","sch2.2Ap1",TRUE,"Island Interconnected COS";"sch2.2Ap2","sch2.2Ap2",TRUE,"Island Interconnected COS";"sch2.2.1Ap1`","sch2.2.1Ap1",TRUE,"Island Interconnected COS";"sch2.2.1Ap2","sch2.2.1Ap2",TRUE,"Island Interconnected COS";"sch2.3Ap1","sch2.3Ap1",TRUE,"Island Interconnected COS";"sch2.3Ap2","sch2.3Ap2",TRUE,"Island Interconnected COS";"sch2.4Ap1","sch2.4Ap1",TRUE,"Island Interconnected COS";"sch2.4Ap2","sch2.4Ap2",TRUE,"Island Interconnected COS";"sch2.4.1A",#N/A,TRUE,"Island Interconnected COS";"sch2.5A",#N/A,TRUE,"Island Interconnected COS";"sch3.1A",#N/A,TRUE,"Island Interconnected COS";"sch3.2A",#N/A,TRUE,"Island Interconnected COS";"sch3.3A",#N/A,TRUE,"Island Interconnected COS";"sch2.1B",#N/A,TRUE,"Schedule 4.3";"sch2.1.1B",#N/A,TRUE,"Island Interconnected COS";"sch2.2B",#N/A,TRUE,"Island Interconnected COS";"sch2.2.1B",#N/A,TRUE,"Island Interconnected COS";"sch2.3B",#N/A,TRUE,"Island Interconnected COS";"sch2.4B",#N/A,TRUE,"Island Interconnected COS";"sch2.4.1B",#N/A,TRUE,"Island Interconnected COS";"sch2.5B",#N/A,TRUE,"Island Interconnected COS";"sch3.1B",#N/A,TRUE,"Island Interconnected COS";"sch3.2B",#N/A,TRUE,"Island Interconnected COS";"sch2.1C",#N/A,TRUE,"Schedule 4.3";"sch2.1.1C",#N/A,TRUE,"Island Interconnected COS";"sch2.2C",#N/A,TRUE,"Island Interconnected COS";"sch2.2.1C",#N/A,TRUE,"Island Interconnected COS";"sch2.3C",#N/A,TRUE,"Island Interconnected COS";"sch2.4C",#N/A,TRUE,"Island Interconnected COS";"sch2.4.1Cp1","sch2.4.1Cp1",TRUE,"Labrador Interconnected COS";"sch2.4.1Cp2","sch2.4.1Cp2",TRUE,"Labrador Interconnected COS";"sch2.5C",#N/A,TRUE,"Labrador Interconnected COS";"sch3.1C",#N/A,TRUE,"Labrador Interconnected COS";"sch3.2Cp1","sch3.2Cp1",TRUE,"Labrador Interconnected COS";"sch2.1D",#N/A,TRUE,"Schedule 4.3";"sch3.2Cp2","sch3.2Cp2",TRUE,"Labrador Interconnected COS";"sch2.1.1D",#N/A,TRUE,"Island Interconnected COS";"sch2.2D",#N/A,TRUE,"Island Interconnected COS";"sch2.2.1D",#N/A,TRUE,"Island Interconnected COS";"sch2.3D",#N/A,TRUE,"Island Interconnected COS";"sch2.4D",#N/A,TRUE,"Island Interconnected COS";"sch2.4.1D",#N/A,TRUE,"Island Interconnected COS";"sch2.5D",#N/A,TRUE,"Island Interconnected COS";"sch3.1D",#N/A,TRUE,"Island Interconnected COS";"sch3.2D",#N/A,TRUE,"Island Interconnected COS";"sch4.1p1",#N/A,TRUE,"Island Interconnected COS";"sch4.1p2",#N/A,TRUE,"Island Interconnected COS";"sch4.1p3",#N/A,TRUE,"Island Interconnected COS";"sch4.1p4",#N/A,TRUE,"Island Interconnected COS";"sch4.2p1",#N/A,TRUE,"Island Interconnected COS";"sch4.2p2",#N/A,TRUE,"Island Interconnected COS";"sch4.2p3",#N/A,TRUE,"Island Interconnected COS";"sch4.2p4",#N/A,TRUE,"Island Interconnected COS";"sch4.3",#N/A,TRUE,"Schedule 4.3"}</definedName>
    <definedName name="wrn.COS." localSheetId="3" hidden="1">{"sch1.1",#N/A,TRUE,"Island Interconnected COS";"sch1.2p1",#N/A,TRUE,"Island Interconnected COS";"sch1.2p2",#N/A,TRUE,"Island Interconnected COS";"sch1.2p3",#N/A,TRUE,"Island Interconnected COS";"sch1.2p4",#N/A,TRUE,"Island Interconnected COS";"sch1.2p5",#N/A,TRUE,"Island Interconnected COS";"sch1.2.1p1&amp;2",#N/A,TRUE,"Island Interconnected COS";"sch1.2.2p1&amp;2",#N/A,TRUE,"Island Interconnected COS";"sch1.3p1",#N/A,TRUE,"Island Interconnected COS";"sch1.3p2",#N/A,TRUE,"Island Interconnected COS";"sch1.3p3",#N/A,TRUE,"Island Interconnected COS";"sch1.3p4",#N/A,TRUE,"Island Interconnected COS";"sch1.3.1p1",#N/A,TRUE,"Island Interconnected COS";"sch1.3.1p2",#N/A,TRUE,"Island Interconnected COS";"sch1.3.1p3",#N/A,TRUE,"Island Interconnected COS";"sch1.3.1p4",#N/A,TRUE,"Island Interconnected COS";"sch1.3.2p1",#N/A,TRUE,"Island Interconnected COS";"sch1.3.2p2",#N/A,TRUE,"Island Interconnected COS";"sch1.3.2p3",#N/A,TRUE,"Island Interconnected COS";"sch1.3.2p4",#N/A,TRUE,"Island Interconnected COS";"sch1.4",#N/A,TRUE,"Island Interconnected COS";"sch2.1A",#N/A,TRUE,"Schedule 4.3";"sch2.1.1A",#N/A,TRUE,"Island Interconnected COS";"sch2.2Ap1","sch2.2Ap1",TRUE,"Island Interconnected COS";"sch2.2Ap2","sch2.2Ap2",TRUE,"Island Interconnected COS";"sch2.2.1Ap1`","sch2.2.1Ap1",TRUE,"Island Interconnected COS";"sch2.2.1Ap2","sch2.2.1Ap2",TRUE,"Island Interconnected COS";"sch2.3Ap1","sch2.3Ap1",TRUE,"Island Interconnected COS";"sch2.3Ap2","sch2.3Ap2",TRUE,"Island Interconnected COS";"sch2.4Ap1","sch2.4Ap1",TRUE,"Island Interconnected COS";"sch2.4Ap2","sch2.4Ap2",TRUE,"Island Interconnected COS";"sch2.4.1A",#N/A,TRUE,"Island Interconnected COS";"sch2.5A",#N/A,TRUE,"Island Interconnected COS";"sch3.1A",#N/A,TRUE,"Island Interconnected COS";"sch3.2A",#N/A,TRUE,"Island Interconnected COS";"sch3.3A",#N/A,TRUE,"Island Interconnected COS";"sch2.1B",#N/A,TRUE,"Schedule 4.3";"sch2.1.1B",#N/A,TRUE,"Island Interconnected COS";"sch2.2B",#N/A,TRUE,"Island Interconnected COS";"sch2.2.1B",#N/A,TRUE,"Island Interconnected COS";"sch2.3B",#N/A,TRUE,"Island Interconnected COS";"sch2.4B",#N/A,TRUE,"Island Interconnected COS";"sch2.4.1B",#N/A,TRUE,"Island Interconnected COS";"sch2.5B",#N/A,TRUE,"Island Interconnected COS";"sch3.1B",#N/A,TRUE,"Island Interconnected COS";"sch3.2B",#N/A,TRUE,"Island Interconnected COS";"sch2.1C",#N/A,TRUE,"Schedule 4.3";"sch2.1.1C",#N/A,TRUE,"Island Interconnected COS";"sch2.2C",#N/A,TRUE,"Island Interconnected COS";"sch2.2.1C",#N/A,TRUE,"Island Interconnected COS";"sch2.3C",#N/A,TRUE,"Island Interconnected COS";"sch2.4C",#N/A,TRUE,"Island Interconnected COS";"sch2.4.1Cp1","sch2.4.1Cp1",TRUE,"Labrador Interconnected COS";"sch2.4.1Cp2","sch2.4.1Cp2",TRUE,"Labrador Interconnected COS";"sch2.5C",#N/A,TRUE,"Labrador Interconnected COS";"sch3.1C",#N/A,TRUE,"Labrador Interconnected COS";"sch3.2Cp1","sch3.2Cp1",TRUE,"Labrador Interconnected COS";"sch2.1D",#N/A,TRUE,"Schedule 4.3";"sch3.2Cp2","sch3.2Cp2",TRUE,"Labrador Interconnected COS";"sch2.1.1D",#N/A,TRUE,"Island Interconnected COS";"sch2.2D",#N/A,TRUE,"Island Interconnected COS";"sch2.2.1D",#N/A,TRUE,"Island Interconnected COS";"sch2.3D",#N/A,TRUE,"Island Interconnected COS";"sch2.4D",#N/A,TRUE,"Island Interconnected COS";"sch2.4.1D",#N/A,TRUE,"Island Interconnected COS";"sch2.5D",#N/A,TRUE,"Island Interconnected COS";"sch3.1D",#N/A,TRUE,"Island Interconnected COS";"sch3.2D",#N/A,TRUE,"Island Interconnected COS";"sch4.1p1",#N/A,TRUE,"Island Interconnected COS";"sch4.1p2",#N/A,TRUE,"Island Interconnected COS";"sch4.1p3",#N/A,TRUE,"Island Interconnected COS";"sch4.1p4",#N/A,TRUE,"Island Interconnected COS";"sch4.2p1",#N/A,TRUE,"Island Interconnected COS";"sch4.2p2",#N/A,TRUE,"Island Interconnected COS";"sch4.2p3",#N/A,TRUE,"Island Interconnected COS";"sch4.2p4",#N/A,TRUE,"Island Interconnected COS";"sch4.3",#N/A,TRUE,"Schedule 4.3"}</definedName>
    <definedName name="wrn.COS." hidden="1">{"sch1.1",#N/A,TRUE,"Island Interconnected COS";"sch1.2p1",#N/A,TRUE,"Island Interconnected COS";"sch1.2p2",#N/A,TRUE,"Island Interconnected COS";"sch1.2p3",#N/A,TRUE,"Island Interconnected COS";"sch1.2p4",#N/A,TRUE,"Island Interconnected COS";"sch1.2p5",#N/A,TRUE,"Island Interconnected COS";"sch1.2.1p1&amp;2",#N/A,TRUE,"Island Interconnected COS";"sch1.2.2p1&amp;2",#N/A,TRUE,"Island Interconnected COS";"sch1.3p1",#N/A,TRUE,"Island Interconnected COS";"sch1.3p2",#N/A,TRUE,"Island Interconnected COS";"sch1.3p3",#N/A,TRUE,"Island Interconnected COS";"sch1.3p4",#N/A,TRUE,"Island Interconnected COS";"sch1.3.1p1",#N/A,TRUE,"Island Interconnected COS";"sch1.3.1p2",#N/A,TRUE,"Island Interconnected COS";"sch1.3.1p3",#N/A,TRUE,"Island Interconnected COS";"sch1.3.1p4",#N/A,TRUE,"Island Interconnected COS";"sch1.3.2p1",#N/A,TRUE,"Island Interconnected COS";"sch1.3.2p2",#N/A,TRUE,"Island Interconnected COS";"sch1.3.2p3",#N/A,TRUE,"Island Interconnected COS";"sch1.3.2p4",#N/A,TRUE,"Island Interconnected COS";"sch1.4",#N/A,TRUE,"Island Interconnected COS";"sch2.1A",#N/A,TRUE,"Schedule 4.3";"sch2.1.1A",#N/A,TRUE,"Island Interconnected COS";"sch2.2Ap1","sch2.2Ap1",TRUE,"Island Interconnected COS";"sch2.2Ap2","sch2.2Ap2",TRUE,"Island Interconnected COS";"sch2.2.1Ap1`","sch2.2.1Ap1",TRUE,"Island Interconnected COS";"sch2.2.1Ap2","sch2.2.1Ap2",TRUE,"Island Interconnected COS";"sch2.3Ap1","sch2.3Ap1",TRUE,"Island Interconnected COS";"sch2.3Ap2","sch2.3Ap2",TRUE,"Island Interconnected COS";"sch2.4Ap1","sch2.4Ap1",TRUE,"Island Interconnected COS";"sch2.4Ap2","sch2.4Ap2",TRUE,"Island Interconnected COS";"sch2.4.1A",#N/A,TRUE,"Island Interconnected COS";"sch2.5A",#N/A,TRUE,"Island Interconnected COS";"sch3.1A",#N/A,TRUE,"Island Interconnected COS";"sch3.2A",#N/A,TRUE,"Island Interconnected COS";"sch3.3A",#N/A,TRUE,"Island Interconnected COS";"sch2.1B",#N/A,TRUE,"Schedule 4.3";"sch2.1.1B",#N/A,TRUE,"Island Interconnected COS";"sch2.2B",#N/A,TRUE,"Island Interconnected COS";"sch2.2.1B",#N/A,TRUE,"Island Interconnected COS";"sch2.3B",#N/A,TRUE,"Island Interconnected COS";"sch2.4B",#N/A,TRUE,"Island Interconnected COS";"sch2.4.1B",#N/A,TRUE,"Island Interconnected COS";"sch2.5B",#N/A,TRUE,"Island Interconnected COS";"sch3.1B",#N/A,TRUE,"Island Interconnected COS";"sch3.2B",#N/A,TRUE,"Island Interconnected COS";"sch2.1C",#N/A,TRUE,"Schedule 4.3";"sch2.1.1C",#N/A,TRUE,"Island Interconnected COS";"sch2.2C",#N/A,TRUE,"Island Interconnected COS";"sch2.2.1C",#N/A,TRUE,"Island Interconnected COS";"sch2.3C",#N/A,TRUE,"Island Interconnected COS";"sch2.4C",#N/A,TRUE,"Island Interconnected COS";"sch2.4.1Cp1","sch2.4.1Cp1",TRUE,"Labrador Interconnected COS";"sch2.4.1Cp2","sch2.4.1Cp2",TRUE,"Labrador Interconnected COS";"sch2.5C",#N/A,TRUE,"Labrador Interconnected COS";"sch3.1C",#N/A,TRUE,"Labrador Interconnected COS";"sch3.2Cp1","sch3.2Cp1",TRUE,"Labrador Interconnected COS";"sch2.1D",#N/A,TRUE,"Schedule 4.3";"sch3.2Cp2","sch3.2Cp2",TRUE,"Labrador Interconnected COS";"sch2.1.1D",#N/A,TRUE,"Island Interconnected COS";"sch2.2D",#N/A,TRUE,"Island Interconnected COS";"sch2.2.1D",#N/A,TRUE,"Island Interconnected COS";"sch2.3D",#N/A,TRUE,"Island Interconnected COS";"sch2.4D",#N/A,TRUE,"Island Interconnected COS";"sch2.4.1D",#N/A,TRUE,"Island Interconnected COS";"sch2.5D",#N/A,TRUE,"Island Interconnected COS";"sch3.1D",#N/A,TRUE,"Island Interconnected COS";"sch3.2D",#N/A,TRUE,"Island Interconnected COS";"sch4.1p1",#N/A,TRUE,"Island Interconnected COS";"sch4.1p2",#N/A,TRUE,"Island Interconnected COS";"sch4.1p3",#N/A,TRUE,"Island Interconnected COS";"sch4.1p4",#N/A,TRUE,"Island Interconnected COS";"sch4.2p1",#N/A,TRUE,"Island Interconnected COS";"sch4.2p2",#N/A,TRUE,"Island Interconnected COS";"sch4.2p3",#N/A,TRUE,"Island Interconnected COS";"sch4.2p4",#N/A,TRUE,"Island Interconnected COS";"sch4.3",#N/A,TRUE,"Schedule 4.3"}</definedName>
    <definedName name="wrn.Customers." localSheetId="0" hidden="1">{"CustIslInt",#N/A,FALSE,"Unassigned Sched - Customers";"CustLabInt",#N/A,FALSE,"Unassigned Sched - Customers";"CustIso",#N/A,FALSE,"Unassigned Sched - Customers"}</definedName>
    <definedName name="wrn.Customers." localSheetId="2" hidden="1">{"CustIslInt",#N/A,FALSE,"Unassigned Sched - Customers";"CustLabInt",#N/A,FALSE,"Unassigned Sched - Customers";"CustIso",#N/A,FALSE,"Unassigned Sched - Customers"}</definedName>
    <definedName name="wrn.Customers." localSheetId="3" hidden="1">{"CustIslInt",#N/A,FALSE,"Unassigned Sched - Customers";"CustLabInt",#N/A,FALSE,"Unassigned Sched - Customers";"CustIso",#N/A,FALSE,"Unassigned Sched - Customers"}</definedName>
    <definedName name="wrn.Customers." hidden="1">{"CustIslInt",#N/A,FALSE,"Unassigned Sched - Customers";"CustLabInt",#N/A,FALSE,"Unassigned Sched - Customers";"CustIso",#N/A,FALSE,"Unassigned Sched - Customers"}</definedName>
    <definedName name="wrn.Forecast._.Budget._.Report." localSheetId="0" hidden="1">{"Forecast Cover",#N/A,FALSE,"Rates";"Revenue - Pages 1 - 8",#N/A,FALSE,"Revenue $";"Rates - Schedules 11 to 13",#N/A,FALSE,"Revenue $";"RSP Write-Off - Schedules 14 - 15",#N/A,FALSE,"Revenue $"}</definedName>
    <definedName name="wrn.Forecast._.Budget._.Report." localSheetId="2" hidden="1">{"Forecast Cover",#N/A,FALSE,"Rates";"Revenue - Pages 1 - 8",#N/A,FALSE,"Revenue $";"Rates - Schedules 11 to 13",#N/A,FALSE,"Revenue $";"RSP Write-Off - Schedules 14 - 15",#N/A,FALSE,"Revenue $"}</definedName>
    <definedName name="wrn.Forecast._.Budget._.Report." localSheetId="3" hidden="1">{"Forecast Cover",#N/A,FALSE,"Rates";"Revenue - Pages 1 - 8",#N/A,FALSE,"Revenue $";"Rates - Schedules 11 to 13",#N/A,FALSE,"Revenue $";"RSP Write-Off - Schedules 14 - 15",#N/A,FALSE,"Revenue $"}</definedName>
    <definedName name="wrn.Forecast._.Budget._.Report." hidden="1">{"Forecast Cover",#N/A,FALSE,"Rates";"Revenue - Pages 1 - 8",#N/A,FALSE,"Revenue $";"Rates - Schedules 11 to 13",#N/A,FALSE,"Revenue $";"RSP Write-Off - Schedules 14 - 15",#N/A,FALSE,"Revenue $"}</definedName>
    <definedName name="wrn.LoadReport." localSheetId="0" hidden="1">{"LoadCover",#N/A,FALSE,"Main Menu";"Sch1To10",#N/A,FALSE,"Main Menu"}</definedName>
    <definedName name="wrn.LoadReport." localSheetId="2" hidden="1">{"LoadCover",#N/A,FALSE,"Main Menu";"Sch1To10",#N/A,FALSE,"Main Menu"}</definedName>
    <definedName name="wrn.LoadReport." localSheetId="3" hidden="1">{"LoadCover",#N/A,FALSE,"Main Menu";"Sch1To10",#N/A,FALSE,"Main Menu"}</definedName>
    <definedName name="wrn.LoadReport." hidden="1">{"LoadCover",#N/A,FALSE,"Main Menu";"Sch1To10",#N/A,FALSE,"Main Menu"}</definedName>
    <definedName name="wrn.PrintAll." localSheetId="0" hidden="1">{"COverPrintAll",#N/A,FALSE,"Revenue $";"RevenuePg1To8",#N/A,FALSE,"Revenue $";"Sch1To10",#N/A,FALSE,"Energy Sales";"Sch11To13",#N/A,FALSE,"Revenue $";"Sch14To20",#N/A,FALSE,"Revenue $";"Sch21",#N/A,FALSE,"Revenue $"}</definedName>
    <definedName name="wrn.PrintAll." localSheetId="2" hidden="1">{"COverPrintAll",#N/A,FALSE,"Revenue $";"RevenuePg1To8",#N/A,FALSE,"Revenue $";"Sch1To10",#N/A,FALSE,"Energy Sales";"Sch11To13",#N/A,FALSE,"Revenue $";"Sch14To20",#N/A,FALSE,"Revenue $";"Sch21",#N/A,FALSE,"Revenue $"}</definedName>
    <definedName name="wrn.PrintAll." localSheetId="3" hidden="1">{"COverPrintAll",#N/A,FALSE,"Revenue $";"RevenuePg1To8",#N/A,FALSE,"Revenue $";"Sch1To10",#N/A,FALSE,"Energy Sales";"Sch11To13",#N/A,FALSE,"Revenue $";"Sch14To20",#N/A,FALSE,"Revenue $";"Sch21",#N/A,FALSE,"Revenue $"}</definedName>
    <definedName name="wrn.PrintAll." hidden="1">{"COverPrintAll",#N/A,FALSE,"Revenue $";"RevenuePg1To8",#N/A,FALSE,"Revenue $";"Sch1To10",#N/A,FALSE,"Energy Sales";"Sch11To13",#N/A,FALSE,"Revenue $";"Sch14To20",#N/A,FALSE,"Revenue $";"Sch21",#N/A,FALSE,"Revenue $"}</definedName>
    <definedName name="wrn.PUB._.3._.Isolated._.Systems." localSheetId="0" hidden="1">{"pub2.1B",#N/A,TRUE,"Isolated Systems COS";"sch2.1.1B",#N/A,TRUE,"Isolated Systems COS";"pub2.2B",#N/A,TRUE,"Isolated Systems COS";"sch2.2.1B",#N/A,TRUE,"Isolated Systems COS";"pub2.3B",#N/A,TRUE,"Isolated Systems COS";"PUB2.4B",#N/A,TRUE,"Isolated Systems COS";"sch2.4.1B",#N/A,TRUE,"Isolated Systems COS";"PUB2.5B",#N/A,TRUE,"Isolated Systems COS";"PUB3.1B",#N/A,TRUE,"Isolated Systems COS";"PUB3.2B",#N/A,TRUE,"Isolated Systems COS"}</definedName>
    <definedName name="wrn.PUB._.3._.Isolated._.Systems." localSheetId="2" hidden="1">{"pub2.1B",#N/A,TRUE,"Isolated Systems COS";"sch2.1.1B",#N/A,TRUE,"Isolated Systems COS";"pub2.2B",#N/A,TRUE,"Isolated Systems COS";"sch2.2.1B",#N/A,TRUE,"Isolated Systems COS";"pub2.3B",#N/A,TRUE,"Isolated Systems COS";"PUB2.4B",#N/A,TRUE,"Isolated Systems COS";"sch2.4.1B",#N/A,TRUE,"Isolated Systems COS";"PUB2.5B",#N/A,TRUE,"Isolated Systems COS";"PUB3.1B",#N/A,TRUE,"Isolated Systems COS";"PUB3.2B",#N/A,TRUE,"Isolated Systems COS"}</definedName>
    <definedName name="wrn.PUB._.3._.Isolated._.Systems." localSheetId="3" hidden="1">{"pub2.1B",#N/A,TRUE,"Isolated Systems COS";"sch2.1.1B",#N/A,TRUE,"Isolated Systems COS";"pub2.2B",#N/A,TRUE,"Isolated Systems COS";"sch2.2.1B",#N/A,TRUE,"Isolated Systems COS";"pub2.3B",#N/A,TRUE,"Isolated Systems COS";"PUB2.4B",#N/A,TRUE,"Isolated Systems COS";"sch2.4.1B",#N/A,TRUE,"Isolated Systems COS";"PUB2.5B",#N/A,TRUE,"Isolated Systems COS";"PUB3.1B",#N/A,TRUE,"Isolated Systems COS";"PUB3.2B",#N/A,TRUE,"Isolated Systems COS"}</definedName>
    <definedName name="wrn.PUB._.3._.Isolated._.Systems." hidden="1">{"pub2.1B",#N/A,TRUE,"Isolated Systems COS";"sch2.1.1B",#N/A,TRUE,"Isolated Systems COS";"pub2.2B",#N/A,TRUE,"Isolated Systems COS";"sch2.2.1B",#N/A,TRUE,"Isolated Systems COS";"pub2.3B",#N/A,TRUE,"Isolated Systems COS";"PUB2.4B",#N/A,TRUE,"Isolated Systems COS";"sch2.4.1B",#N/A,TRUE,"Isolated Systems COS";"PUB2.5B",#N/A,TRUE,"Isolated Systems COS";"PUB3.1B",#N/A,TRUE,"Isolated Systems COS";"PUB3.2B",#N/A,TRUE,"Isolated Systems COS"}</definedName>
    <definedName name="wrn.PUB._.4._.Lab._.Interconnected." localSheetId="0" hidden="1">{"pub2.1C",#N/A,TRUE,"Labrador Interconnected COS";"pub2.1.1C",#N/A,TRUE,"Labrador Interconnected COS";"pub2.2C",#N/A,TRUE,"Labrador Interconnected COS";"pub2.2.1C",#N/A,TRUE,"Labrador Interconnected COS";"pub2.3C",#N/A,TRUE,"Labrador Interconnected COS";"pub2.4C",#N/A,TRUE,"Labrador Interconnected COS";"pub2.4.1C",#N/A,TRUE,"Labrador Interconnected COS";"pub2.5C",#N/A,TRUE,"Labrador Interconnected COS";"pub3.1C",#N/A,TRUE,"Labrador Interconnected COS";"pub3.2C",#N/A,TRUE,"Labrador Interconnected COS"}</definedName>
    <definedName name="wrn.PUB._.4._.Lab._.Interconnected." localSheetId="2" hidden="1">{"pub2.1C",#N/A,TRUE,"Labrador Interconnected COS";"pub2.1.1C",#N/A,TRUE,"Labrador Interconnected COS";"pub2.2C",#N/A,TRUE,"Labrador Interconnected COS";"pub2.2.1C",#N/A,TRUE,"Labrador Interconnected COS";"pub2.3C",#N/A,TRUE,"Labrador Interconnected COS";"pub2.4C",#N/A,TRUE,"Labrador Interconnected COS";"pub2.4.1C",#N/A,TRUE,"Labrador Interconnected COS";"pub2.5C",#N/A,TRUE,"Labrador Interconnected COS";"pub3.1C",#N/A,TRUE,"Labrador Interconnected COS";"pub3.2C",#N/A,TRUE,"Labrador Interconnected COS"}</definedName>
    <definedName name="wrn.PUB._.4._.Lab._.Interconnected." localSheetId="3" hidden="1">{"pub2.1C",#N/A,TRUE,"Labrador Interconnected COS";"pub2.1.1C",#N/A,TRUE,"Labrador Interconnected COS";"pub2.2C",#N/A,TRUE,"Labrador Interconnected COS";"pub2.2.1C",#N/A,TRUE,"Labrador Interconnected COS";"pub2.3C",#N/A,TRUE,"Labrador Interconnected COS";"pub2.4C",#N/A,TRUE,"Labrador Interconnected COS";"pub2.4.1C",#N/A,TRUE,"Labrador Interconnected COS";"pub2.5C",#N/A,TRUE,"Labrador Interconnected COS";"pub3.1C",#N/A,TRUE,"Labrador Interconnected COS";"pub3.2C",#N/A,TRUE,"Labrador Interconnected COS"}</definedName>
    <definedName name="wrn.PUB._.4._.Lab._.Interconnected." hidden="1">{"pub2.1C",#N/A,TRUE,"Labrador Interconnected COS";"pub2.1.1C",#N/A,TRUE,"Labrador Interconnected COS";"pub2.2C",#N/A,TRUE,"Labrador Interconnected COS";"pub2.2.1C",#N/A,TRUE,"Labrador Interconnected COS";"pub2.3C",#N/A,TRUE,"Labrador Interconnected COS";"pub2.4C",#N/A,TRUE,"Labrador Interconnected COS";"pub2.4.1C",#N/A,TRUE,"Labrador Interconnected COS";"pub2.5C",#N/A,TRUE,"Labrador Interconnected COS";"pub3.1C",#N/A,TRUE,"Labrador Interconnected COS";"pub3.2C",#N/A,TRUE,"Labrador Interconnected COS"}</definedName>
    <definedName name="wrn.PUB._.5._.AED._.Factors." localSheetId="0" hidden="1">{"sch4.1p1","pub4.1p1",TRUE,"Schedule 4.1,4.2";"pub4.1p2",#N/A,TRUE,"Schedule 4.1,4.2";"sch4.1p3","pub4.1p3",TRUE,"Schedule 4.1,4.2";"sch4.2p1","pub4.2p1",TRUE,"Schedule 4.1,4.2";"pub4.2p2",#N/A,TRUE,"Schedule 4.1,4.2";"sch4.2p3","pub4.2p3",TRUE,"Schedule 4.1,4.2";"sch4.3",#N/A,TRUE,"Schedule 4.1,4.2";"Sch4.4",#N/A,TRUE,"Labrador Interconnected COS";"CustIslInt",#N/A,TRUE,"Labrador Interconnected COS";"CustIso",#N/A,TRUE,"Labrador Interconnected COS";"CustLabInt",#N/A,TRUE,"Labrador Interconnected COS"}</definedName>
    <definedName name="wrn.PUB._.5._.AED._.Factors." localSheetId="2" hidden="1">{"sch4.1p1","pub4.1p1",TRUE,"Schedule 4.1,4.2";"pub4.1p2",#N/A,TRUE,"Schedule 4.1,4.2";"sch4.1p3","pub4.1p3",TRUE,"Schedule 4.1,4.2";"sch4.2p1","pub4.2p1",TRUE,"Schedule 4.1,4.2";"pub4.2p2",#N/A,TRUE,"Schedule 4.1,4.2";"sch4.2p3","pub4.2p3",TRUE,"Schedule 4.1,4.2";"sch4.3",#N/A,TRUE,"Schedule 4.1,4.2";"Sch4.4",#N/A,TRUE,"Labrador Interconnected COS";"CustIslInt",#N/A,TRUE,"Labrador Interconnected COS";"CustIso",#N/A,TRUE,"Labrador Interconnected COS";"CustLabInt",#N/A,TRUE,"Labrador Interconnected COS"}</definedName>
    <definedName name="wrn.PUB._.5._.AED._.Factors." localSheetId="3" hidden="1">{"sch4.1p1","pub4.1p1",TRUE,"Schedule 4.1,4.2";"pub4.1p2",#N/A,TRUE,"Schedule 4.1,4.2";"sch4.1p3","pub4.1p3",TRUE,"Schedule 4.1,4.2";"sch4.2p1","pub4.2p1",TRUE,"Schedule 4.1,4.2";"pub4.2p2",#N/A,TRUE,"Schedule 4.1,4.2";"sch4.2p3","pub4.2p3",TRUE,"Schedule 4.1,4.2";"sch4.3",#N/A,TRUE,"Schedule 4.1,4.2";"Sch4.4",#N/A,TRUE,"Labrador Interconnected COS";"CustIslInt",#N/A,TRUE,"Labrador Interconnected COS";"CustIso",#N/A,TRUE,"Labrador Interconnected COS";"CustLabInt",#N/A,TRUE,"Labrador Interconnected COS"}</definedName>
    <definedName name="wrn.PUB._.5._.AED._.Factors." hidden="1">{"sch4.1p1","pub4.1p1",TRUE,"Schedule 4.1,4.2";"pub4.1p2",#N/A,TRUE,"Schedule 4.1,4.2";"sch4.1p3","pub4.1p3",TRUE,"Schedule 4.1,4.2";"sch4.2p1","pub4.2p1",TRUE,"Schedule 4.1,4.2";"pub4.2p2",#N/A,TRUE,"Schedule 4.1,4.2";"sch4.2p3","pub4.2p3",TRUE,"Schedule 4.1,4.2";"sch4.3",#N/A,TRUE,"Schedule 4.1,4.2";"Sch4.4",#N/A,TRUE,"Labrador Interconnected COS";"CustIslInt",#N/A,TRUE,"Labrador Interconnected COS";"CustIso",#N/A,TRUE,"Labrador Interconnected COS";"CustLabInt",#N/A,TRUE,"Labrador Interconnected COS"}</definedName>
    <definedName name="wrn.pub._.summaries." localSheetId="0" hidden="1">{"pub1.1",#N/A,TRUE,"Unit Costs";"pub1.2p1",#N/A,TRUE,"Unit Costs";"sch1.2p2","pub1.2p2",TRUE,"Rev to Cost";"pub1.2p3",#N/A,TRUE,"Rev to Cost";"sch1.2p4","pub1.2p4",TRUE,"Rev to Cost";"sch1.3p1","pub1.3p1",TRUE,"Unit Costs";"pub1.3p2",#N/A,TRUE,"Unit Costs";"sch1.3p3","pub1.3p3",TRUE,"Unit Costs";"sch1.3.1p1","pub1.3.1p1",TRUE,"Unit Costs";"pub1.3.1p2",#N/A,TRUE,"Unit Costs";"sch1.3.1p3","pub1.3.1p3",TRUE,"Unit Costs";"sch1.3.2p1","pub1.3.2p1",TRUE,"Unit Costs";"pub1.3.2p2",#N/A,TRUE,"Unit Costs";"sch1.3.2p3","pub1.3.2p3",TRUE,"Unit Costs";"sch1.4",#N/A,TRUE,"Unit Costs"}</definedName>
    <definedName name="wrn.pub._.summaries." localSheetId="2" hidden="1">{"pub1.1",#N/A,TRUE,"Unit Costs";"pub1.2p1",#N/A,TRUE,"Unit Costs";"sch1.2p2","pub1.2p2",TRUE,"Rev to Cost";"pub1.2p3",#N/A,TRUE,"Rev to Cost";"sch1.2p4","pub1.2p4",TRUE,"Rev to Cost";"sch1.3p1","pub1.3p1",TRUE,"Unit Costs";"pub1.3p2",#N/A,TRUE,"Unit Costs";"sch1.3p3","pub1.3p3",TRUE,"Unit Costs";"sch1.3.1p1","pub1.3.1p1",TRUE,"Unit Costs";"pub1.3.1p2",#N/A,TRUE,"Unit Costs";"sch1.3.1p3","pub1.3.1p3",TRUE,"Unit Costs";"sch1.3.2p1","pub1.3.2p1",TRUE,"Unit Costs";"pub1.3.2p2",#N/A,TRUE,"Unit Costs";"sch1.3.2p3","pub1.3.2p3",TRUE,"Unit Costs";"sch1.4",#N/A,TRUE,"Unit Costs"}</definedName>
    <definedName name="wrn.pub._.summaries." localSheetId="3" hidden="1">{"pub1.1",#N/A,TRUE,"Unit Costs";"pub1.2p1",#N/A,TRUE,"Unit Costs";"sch1.2p2","pub1.2p2",TRUE,"Rev to Cost";"pub1.2p3",#N/A,TRUE,"Rev to Cost";"sch1.2p4","pub1.2p4",TRUE,"Rev to Cost";"sch1.3p1","pub1.3p1",TRUE,"Unit Costs";"pub1.3p2",#N/A,TRUE,"Unit Costs";"sch1.3p3","pub1.3p3",TRUE,"Unit Costs";"sch1.3.1p1","pub1.3.1p1",TRUE,"Unit Costs";"pub1.3.1p2",#N/A,TRUE,"Unit Costs";"sch1.3.1p3","pub1.3.1p3",TRUE,"Unit Costs";"sch1.3.2p1","pub1.3.2p1",TRUE,"Unit Costs";"pub1.3.2p2",#N/A,TRUE,"Unit Costs";"sch1.3.2p3","pub1.3.2p3",TRUE,"Unit Costs";"sch1.4",#N/A,TRUE,"Unit Costs"}</definedName>
    <definedName name="wrn.pub._.summaries." hidden="1">{"pub1.1",#N/A,TRUE,"Unit Costs";"pub1.2p1",#N/A,TRUE,"Unit Costs";"sch1.2p2","pub1.2p2",TRUE,"Rev to Cost";"pub1.2p3",#N/A,TRUE,"Rev to Cost";"sch1.2p4","pub1.2p4",TRUE,"Rev to Cost";"sch1.3p1","pub1.3p1",TRUE,"Unit Costs";"pub1.3p2",#N/A,TRUE,"Unit Costs";"sch1.3p3","pub1.3p3",TRUE,"Unit Costs";"sch1.3.1p1","pub1.3.1p1",TRUE,"Unit Costs";"pub1.3.1p2",#N/A,TRUE,"Unit Costs";"sch1.3.1p3","pub1.3.1p3",TRUE,"Unit Costs";"sch1.3.2p1","pub1.3.2p1",TRUE,"Unit Costs";"pub1.3.2p2",#N/A,TRUE,"Unit Costs";"sch1.3.2p3","pub1.3.2p3",TRUE,"Unit Costs";"sch1.4",#N/A,TRUE,"Unit Costs"}</definedName>
    <definedName name="wrn.Sch4.4." localSheetId="0" hidden="1">{"Sch4.4",#N/A,FALSE,"Schedules 5.2,5.3,5.4"}</definedName>
    <definedName name="wrn.Sch4.4." localSheetId="2" hidden="1">{"Sch4.4",#N/A,FALSE,"Schedules 5.2,5.3,5.4"}</definedName>
    <definedName name="wrn.Sch4.4." localSheetId="3" hidden="1">{"Sch4.4",#N/A,FALSE,"Schedules 5.2,5.3,5.4"}</definedName>
    <definedName name="wrn.Sch4.4." hidden="1">{"Sch4.4",#N/A,FALSE,"Schedules 5.2,5.3,5.4"}</definedName>
    <definedName name="Year" localSheetId="2">#REF!</definedName>
    <definedName name="Year" localSheetId="3">[1]RunOptions!$B$31</definedName>
    <definedName name="Year">[2]RunOptions!$B$31</definedName>
    <definedName name="Yr">#REF!</definedName>
    <definedName name="Z_03CBBAAF_5E1E_11D4_B95C_000629B12FF7_.wvu.Cols" localSheetId="2" hidden="1">#REF!,#REF!,#REF!,#REF!</definedName>
    <definedName name="Z_03CBBAAF_5E1E_11D4_B95C_000629B12FF7_.wvu.Cols" localSheetId="3" hidden="1">#REF!,#REF!,#REF!,#REF!</definedName>
    <definedName name="Z_03CBBAAF_5E1E_11D4_B95C_000629B12FF7_.wvu.Cols" hidden="1">#REF!,#REF!,#REF!,#REF!</definedName>
    <definedName name="Z_03CBBAAF_5E1E_11D4_B95C_000629B12FF7_.wvu.PrintArea" localSheetId="1" hidden="1">'Schedule F IslIntCos'!$E$521:$F$530</definedName>
    <definedName name="Z_03CBBAAF_5E1E_11D4_B95C_000629B12FF7_.wvu.PrintArea" localSheetId="0" hidden="1">'Schedule F Rev to Cost'!$A$1:$I$46</definedName>
    <definedName name="Z_03CBBAAF_5E1E_11D4_B95C_000629B12FF7_.wvu.PrintArea" localSheetId="2" hidden="1">'Schedule G IslIntCos'!$E$521:$F$530</definedName>
    <definedName name="Z_03CBBAAF_5E1E_11D4_B95C_000629B12FF7_.wvu.PrintArea" localSheetId="3" hidden="1">'Schedule G Rev to Cost'!$A$1:$I$46</definedName>
    <definedName name="Z_03CBBAAF_5E1E_11D4_B95C_000629B12FF7_.wvu.PrintTitles" localSheetId="2" hidden="1">'Schedule G IslIntCos'!$E:$E</definedName>
    <definedName name="Z_03CBBAAF_5E1E_11D4_B95C_000629B12FF7_.wvu.PrintTitles" hidden="1">'Schedule F IslIntCos'!$E:$E</definedName>
    <definedName name="Z_03CBBAAF_5E1E_11D4_B95C_000629B12FF7_.wvu.Rows" localSheetId="3" hidden="1">'Schedule G Rev to Cost'!$18:$19</definedName>
    <definedName name="Z_03CBBAAF_5E1E_11D4_B95C_000629B12FF7_.wvu.Rows" hidden="1">'Schedule F Rev to Cost'!$18:$19</definedName>
    <definedName name="Z_03CBBAB0_5E1E_11D4_B95C_000629B12FF7_.wvu.Cols" localSheetId="2" hidden="1">#REF!,#REF!,#REF!,#REF!</definedName>
    <definedName name="Z_03CBBAB0_5E1E_11D4_B95C_000629B12FF7_.wvu.Cols" localSheetId="3" hidden="1">#REF!,#REF!,#REF!,#REF!</definedName>
    <definedName name="Z_03CBBAB0_5E1E_11D4_B95C_000629B12FF7_.wvu.Cols" hidden="1">#REF!,#REF!,#REF!,#REF!</definedName>
    <definedName name="Z_03CBBAB0_5E1E_11D4_B95C_000629B12FF7_.wvu.PrintArea" localSheetId="1" hidden="1">'Schedule F IslIntCos'!$E$521:$F$530</definedName>
    <definedName name="Z_03CBBAB0_5E1E_11D4_B95C_000629B12FF7_.wvu.PrintArea" localSheetId="0" hidden="1">'Schedule F Rev to Cost'!$A$48:$I$94</definedName>
    <definedName name="Z_03CBBAB0_5E1E_11D4_B95C_000629B12FF7_.wvu.PrintArea" localSheetId="2" hidden="1">'Schedule G IslIntCos'!$E$521:$F$530</definedName>
    <definedName name="Z_03CBBAB0_5E1E_11D4_B95C_000629B12FF7_.wvu.PrintArea" localSheetId="3" hidden="1">'Schedule G Rev to Cost'!$A$48:$I$94</definedName>
    <definedName name="Z_03CBBAB0_5E1E_11D4_B95C_000629B12FF7_.wvu.PrintTitles" localSheetId="2" hidden="1">'Schedule G IslIntCos'!$E:$E</definedName>
    <definedName name="Z_03CBBAB0_5E1E_11D4_B95C_000629B12FF7_.wvu.PrintTitles" hidden="1">'Schedule F IslIntCos'!$E:$E</definedName>
    <definedName name="Z_03CBBAB2_5E1E_11D4_B95C_000629B12FF7_.wvu.Cols" localSheetId="2" hidden="1">#REF!,#REF!,#REF!,#REF!</definedName>
    <definedName name="Z_03CBBAB2_5E1E_11D4_B95C_000629B12FF7_.wvu.Cols" localSheetId="3" hidden="1">#REF!,#REF!,#REF!,#REF!</definedName>
    <definedName name="Z_03CBBAB2_5E1E_11D4_B95C_000629B12FF7_.wvu.Cols" hidden="1">#REF!,#REF!,#REF!,#REF!</definedName>
    <definedName name="Z_03CBBAB2_5E1E_11D4_B95C_000629B12FF7_.wvu.PrintArea" localSheetId="1" hidden="1">'Schedule F IslIntCos'!$E$521:$F$530</definedName>
    <definedName name="Z_03CBBAB2_5E1E_11D4_B95C_000629B12FF7_.wvu.PrintArea" localSheetId="0" hidden="1">'Schedule F Rev to Cost'!$A$205:$H$244</definedName>
    <definedName name="Z_03CBBAB2_5E1E_11D4_B95C_000629B12FF7_.wvu.PrintArea" localSheetId="2" hidden="1">'Schedule G IslIntCos'!$E$521:$F$530</definedName>
    <definedName name="Z_03CBBAB2_5E1E_11D4_B95C_000629B12FF7_.wvu.PrintArea" localSheetId="3" hidden="1">'Schedule G Rev to Cost'!$A$205:$H$244</definedName>
    <definedName name="Z_03CBBAB2_5E1E_11D4_B95C_000629B12FF7_.wvu.PrintTitles" localSheetId="2" hidden="1">'Schedule G IslIntCos'!$E:$E</definedName>
    <definedName name="Z_03CBBAB2_5E1E_11D4_B95C_000629B12FF7_.wvu.PrintTitles" hidden="1">'Schedule F IslIntCos'!$E:$E</definedName>
    <definedName name="Z_03CBBAB4_5E1E_11D4_B95C_000629B12FF7_.wvu.Cols" localSheetId="2" hidden="1">#REF!,#REF!,#REF!,#REF!</definedName>
    <definedName name="Z_03CBBAB4_5E1E_11D4_B95C_000629B12FF7_.wvu.Cols" localSheetId="3" hidden="1">#REF!,#REF!,#REF!,#REF!</definedName>
    <definedName name="Z_03CBBAB4_5E1E_11D4_B95C_000629B12FF7_.wvu.Cols" hidden="1">#REF!,#REF!,#REF!,#REF!</definedName>
    <definedName name="Z_03CBBAB4_5E1E_11D4_B95C_000629B12FF7_.wvu.PrintArea" localSheetId="1" hidden="1">'Schedule F IslIntCos'!$E$521:$F$530</definedName>
    <definedName name="Z_03CBBAB4_5E1E_11D4_B95C_000629B12FF7_.wvu.PrintArea" localSheetId="0" hidden="1">'Schedule F Rev to Cost'!$A$255:$G$326</definedName>
    <definedName name="Z_03CBBAB4_5E1E_11D4_B95C_000629B12FF7_.wvu.PrintArea" localSheetId="2" hidden="1">'Schedule G IslIntCos'!$E$521:$F$530</definedName>
    <definedName name="Z_03CBBAB4_5E1E_11D4_B95C_000629B12FF7_.wvu.PrintArea" localSheetId="3" hidden="1">'Schedule G Rev to Cost'!$A$255:$G$326</definedName>
    <definedName name="Z_03CBBAB4_5E1E_11D4_B95C_000629B12FF7_.wvu.PrintTitles" localSheetId="2" hidden="1">'Schedule G IslIntCos'!$E:$E</definedName>
    <definedName name="Z_03CBBAB4_5E1E_11D4_B95C_000629B12FF7_.wvu.PrintTitles" hidden="1">'Schedule F IslIntCos'!$E:$E</definedName>
    <definedName name="Z_03CBBAB5_5E1E_11D4_B95C_000629B12FF7_.wvu.Cols" localSheetId="2" hidden="1">#REF!,#REF!,#REF!,#REF!</definedName>
    <definedName name="Z_03CBBAB5_5E1E_11D4_B95C_000629B12FF7_.wvu.Cols" localSheetId="3" hidden="1">#REF!,#REF!,#REF!,#REF!</definedName>
    <definedName name="Z_03CBBAB5_5E1E_11D4_B95C_000629B12FF7_.wvu.Cols" hidden="1">#REF!,#REF!,#REF!,#REF!</definedName>
    <definedName name="Z_03CBBAB5_5E1E_11D4_B95C_000629B12FF7_.wvu.PrintArea" localSheetId="1" hidden="1">'Schedule F IslIntCos'!$E$521:$F$530</definedName>
    <definedName name="Z_03CBBAB5_5E1E_11D4_B95C_000629B12FF7_.wvu.PrintArea" localSheetId="0" hidden="1">'Schedule F Rev to Cost'!#REF!</definedName>
    <definedName name="Z_03CBBAB5_5E1E_11D4_B95C_000629B12FF7_.wvu.PrintArea" localSheetId="2" hidden="1">'Schedule G IslIntCos'!$E$521:$F$530</definedName>
    <definedName name="Z_03CBBAB5_5E1E_11D4_B95C_000629B12FF7_.wvu.PrintArea" localSheetId="3" hidden="1">'Schedule G Rev to Cost'!#REF!</definedName>
    <definedName name="Z_03CBBAB5_5E1E_11D4_B95C_000629B12FF7_.wvu.PrintTitles" localSheetId="2" hidden="1">'Schedule G IslIntCos'!$E:$E</definedName>
    <definedName name="Z_03CBBAB5_5E1E_11D4_B95C_000629B12FF7_.wvu.PrintTitles" hidden="1">'Schedule F IslIntCos'!$E:$E</definedName>
    <definedName name="Z_03CBBAB6_5E1E_11D4_B95C_000629B12FF7_.wvu.Cols" localSheetId="2" hidden="1">#REF!,#REF!,#REF!,#REF!</definedName>
    <definedName name="Z_03CBBAB6_5E1E_11D4_B95C_000629B12FF7_.wvu.Cols" localSheetId="3" hidden="1">#REF!,#REF!,#REF!,#REF!</definedName>
    <definedName name="Z_03CBBAB6_5E1E_11D4_B95C_000629B12FF7_.wvu.Cols" hidden="1">#REF!,#REF!,#REF!,#REF!</definedName>
    <definedName name="Z_03CBBAB6_5E1E_11D4_B95C_000629B12FF7_.wvu.PrintArea" localSheetId="1" hidden="1">'Schedule F IslIntCos'!$E$521:$F$530</definedName>
    <definedName name="Z_03CBBAB6_5E1E_11D4_B95C_000629B12FF7_.wvu.PrintArea" localSheetId="0" hidden="1">'Schedule F Rev to Cost'!#REF!</definedName>
    <definedName name="Z_03CBBAB6_5E1E_11D4_B95C_000629B12FF7_.wvu.PrintArea" localSheetId="2" hidden="1">'Schedule G IslIntCos'!$E$521:$F$530</definedName>
    <definedName name="Z_03CBBAB6_5E1E_11D4_B95C_000629B12FF7_.wvu.PrintArea" localSheetId="3" hidden="1">'Schedule G Rev to Cost'!#REF!</definedName>
    <definedName name="Z_03CBBAB6_5E1E_11D4_B95C_000629B12FF7_.wvu.PrintTitles" localSheetId="2" hidden="1">'Schedule G IslIntCos'!$E:$E</definedName>
    <definedName name="Z_03CBBAB6_5E1E_11D4_B95C_000629B12FF7_.wvu.PrintTitles" hidden="1">'Schedule F IslIntCos'!$E:$E</definedName>
    <definedName name="Z_03CBBAB7_5E1E_11D4_B95C_000629B12FF7_.wvu.Cols" localSheetId="2" hidden="1">#REF!,#REF!,#REF!,#REF!</definedName>
    <definedName name="Z_03CBBAB7_5E1E_11D4_B95C_000629B12FF7_.wvu.Cols" localSheetId="3" hidden="1">#REF!,#REF!,#REF!,#REF!</definedName>
    <definedName name="Z_03CBBAB7_5E1E_11D4_B95C_000629B12FF7_.wvu.Cols" hidden="1">#REF!,#REF!,#REF!,#REF!</definedName>
    <definedName name="Z_03CBBAB7_5E1E_11D4_B95C_000629B12FF7_.wvu.PrintArea" localSheetId="1" hidden="1">'Schedule F IslIntCos'!$E$521:$F$530</definedName>
    <definedName name="Z_03CBBAB7_5E1E_11D4_B95C_000629B12FF7_.wvu.PrintArea" localSheetId="0" hidden="1">'Schedule F Rev to Cost'!#REF!</definedName>
    <definedName name="Z_03CBBAB7_5E1E_11D4_B95C_000629B12FF7_.wvu.PrintArea" localSheetId="2" hidden="1">'Schedule G IslIntCos'!$E$521:$F$530</definedName>
    <definedName name="Z_03CBBAB7_5E1E_11D4_B95C_000629B12FF7_.wvu.PrintArea" localSheetId="3" hidden="1">'Schedule G Rev to Cost'!#REF!</definedName>
    <definedName name="Z_03CBBAB7_5E1E_11D4_B95C_000629B12FF7_.wvu.PrintTitles" localSheetId="2" hidden="1">'Schedule G IslIntCos'!$E:$E</definedName>
    <definedName name="Z_03CBBAB7_5E1E_11D4_B95C_000629B12FF7_.wvu.PrintTitles" hidden="1">'Schedule F IslIntCos'!$E:$E</definedName>
    <definedName name="Z_03CBBAB8_5E1E_11D4_B95C_000629B12FF7_.wvu.Cols" localSheetId="2" hidden="1">#REF!,#REF!,#REF!,#REF!</definedName>
    <definedName name="Z_03CBBAB8_5E1E_11D4_B95C_000629B12FF7_.wvu.Cols" localSheetId="3" hidden="1">#REF!,#REF!,#REF!,#REF!</definedName>
    <definedName name="Z_03CBBAB8_5E1E_11D4_B95C_000629B12FF7_.wvu.Cols" hidden="1">#REF!,#REF!,#REF!,#REF!</definedName>
    <definedName name="Z_03CBBAB8_5E1E_11D4_B95C_000629B12FF7_.wvu.PrintArea" localSheetId="1" hidden="1">'Schedule F IslIntCos'!$E$521:$F$530</definedName>
    <definedName name="Z_03CBBAB8_5E1E_11D4_B95C_000629B12FF7_.wvu.PrintArea" localSheetId="0" hidden="1">'Schedule F Rev to Cost'!#REF!</definedName>
    <definedName name="Z_03CBBAB8_5E1E_11D4_B95C_000629B12FF7_.wvu.PrintArea" localSheetId="2" hidden="1">'Schedule G IslIntCos'!$E$521:$F$530</definedName>
    <definedName name="Z_03CBBAB8_5E1E_11D4_B95C_000629B12FF7_.wvu.PrintArea" localSheetId="3" hidden="1">'Schedule G Rev to Cost'!#REF!</definedName>
    <definedName name="Z_03CBBAB8_5E1E_11D4_B95C_000629B12FF7_.wvu.PrintTitles" localSheetId="2" hidden="1">'Schedule G IslIntCos'!$E:$E</definedName>
    <definedName name="Z_03CBBAB8_5E1E_11D4_B95C_000629B12FF7_.wvu.PrintTitles" hidden="1">'Schedule F IslIntCos'!$E:$E</definedName>
    <definedName name="Z_03CBBAB9_5E1E_11D4_B95C_000629B12FF7_.wvu.Cols" localSheetId="2" hidden="1">#REF!,#REF!,#REF!,#REF!</definedName>
    <definedName name="Z_03CBBAB9_5E1E_11D4_B95C_000629B12FF7_.wvu.Cols" localSheetId="3" hidden="1">#REF!,#REF!,#REF!,#REF!</definedName>
    <definedName name="Z_03CBBAB9_5E1E_11D4_B95C_000629B12FF7_.wvu.Cols" hidden="1">#REF!,#REF!,#REF!,#REF!</definedName>
    <definedName name="Z_03CBBAB9_5E1E_11D4_B95C_000629B12FF7_.wvu.PrintArea" localSheetId="1" hidden="1">'Schedule F IslIntCos'!$E$521:$F$530</definedName>
    <definedName name="Z_03CBBAB9_5E1E_11D4_B95C_000629B12FF7_.wvu.PrintArea" localSheetId="0" hidden="1">'Schedule F Rev to Cost'!#REF!</definedName>
    <definedName name="Z_03CBBAB9_5E1E_11D4_B95C_000629B12FF7_.wvu.PrintArea" localSheetId="2" hidden="1">'Schedule G IslIntCos'!$E$521:$F$530</definedName>
    <definedName name="Z_03CBBAB9_5E1E_11D4_B95C_000629B12FF7_.wvu.PrintArea" localSheetId="3" hidden="1">'Schedule G Rev to Cost'!#REF!</definedName>
    <definedName name="Z_03CBBAB9_5E1E_11D4_B95C_000629B12FF7_.wvu.PrintTitles" localSheetId="2" hidden="1">'Schedule G IslIntCos'!$E:$E</definedName>
    <definedName name="Z_03CBBAB9_5E1E_11D4_B95C_000629B12FF7_.wvu.PrintTitles" hidden="1">'Schedule F IslIntCos'!$E:$E</definedName>
    <definedName name="Z_03CBBABA_5E1E_11D4_B95C_000629B12FF7_.wvu.Cols" localSheetId="2" hidden="1">#REF!,#REF!,#REF!,#REF!</definedName>
    <definedName name="Z_03CBBABA_5E1E_11D4_B95C_000629B12FF7_.wvu.Cols" localSheetId="3" hidden="1">#REF!,#REF!,#REF!,#REF!</definedName>
    <definedName name="Z_03CBBABA_5E1E_11D4_B95C_000629B12FF7_.wvu.Cols" hidden="1">#REF!,#REF!,#REF!,#REF!</definedName>
    <definedName name="Z_03CBBABA_5E1E_11D4_B95C_000629B12FF7_.wvu.PrintArea" localSheetId="1" hidden="1">'Schedule F IslIntCos'!$E$521:$F$530</definedName>
    <definedName name="Z_03CBBABA_5E1E_11D4_B95C_000629B12FF7_.wvu.PrintArea" localSheetId="0" hidden="1">'Schedule F Rev to Cost'!#REF!</definedName>
    <definedName name="Z_03CBBABA_5E1E_11D4_B95C_000629B12FF7_.wvu.PrintArea" localSheetId="2" hidden="1">'Schedule G IslIntCos'!$E$521:$F$530</definedName>
    <definedName name="Z_03CBBABA_5E1E_11D4_B95C_000629B12FF7_.wvu.PrintArea" localSheetId="3" hidden="1">'Schedule G Rev to Cost'!#REF!</definedName>
    <definedName name="Z_03CBBABA_5E1E_11D4_B95C_000629B12FF7_.wvu.PrintTitles" localSheetId="2" hidden="1">'Schedule G IslIntCos'!$E:$E</definedName>
    <definedName name="Z_03CBBABA_5E1E_11D4_B95C_000629B12FF7_.wvu.PrintTitles" hidden="1">'Schedule F IslIntCos'!$E:$E</definedName>
    <definedName name="Z_03CBBABB_5E1E_11D4_B95C_000629B12FF7_.wvu.Cols" localSheetId="2" hidden="1">#REF!,#REF!,#REF!,#REF!</definedName>
    <definedName name="Z_03CBBABB_5E1E_11D4_B95C_000629B12FF7_.wvu.Cols" localSheetId="3" hidden="1">#REF!,#REF!,#REF!,#REF!</definedName>
    <definedName name="Z_03CBBABB_5E1E_11D4_B95C_000629B12FF7_.wvu.Cols" hidden="1">#REF!,#REF!,#REF!,#REF!</definedName>
    <definedName name="Z_03CBBABB_5E1E_11D4_B95C_000629B12FF7_.wvu.PrintArea" localSheetId="1" hidden="1">'Schedule F IslIntCos'!$E$521:$F$530</definedName>
    <definedName name="Z_03CBBABB_5E1E_11D4_B95C_000629B12FF7_.wvu.PrintArea" localSheetId="0" hidden="1">'Schedule F Rev to Cost'!#REF!</definedName>
    <definedName name="Z_03CBBABB_5E1E_11D4_B95C_000629B12FF7_.wvu.PrintArea" localSheetId="2" hidden="1">'Schedule G IslIntCos'!$E$521:$F$530</definedName>
    <definedName name="Z_03CBBABB_5E1E_11D4_B95C_000629B12FF7_.wvu.PrintArea" localSheetId="3" hidden="1">'Schedule G Rev to Cost'!#REF!</definedName>
    <definedName name="Z_03CBBABB_5E1E_11D4_B95C_000629B12FF7_.wvu.PrintTitles" localSheetId="2" hidden="1">'Schedule G IslIntCos'!$E:$E</definedName>
    <definedName name="Z_03CBBABB_5E1E_11D4_B95C_000629B12FF7_.wvu.PrintTitles" hidden="1">'Schedule F IslIntCos'!$E:$E</definedName>
    <definedName name="Z_03CBBABC_5E1E_11D4_B95C_000629B12FF7_.wvu.Cols" localSheetId="2" hidden="1">#REF!,#REF!,#REF!,#REF!</definedName>
    <definedName name="Z_03CBBABC_5E1E_11D4_B95C_000629B12FF7_.wvu.Cols" localSheetId="3" hidden="1">#REF!,#REF!,#REF!,#REF!</definedName>
    <definedName name="Z_03CBBABC_5E1E_11D4_B95C_000629B12FF7_.wvu.Cols" hidden="1">#REF!,#REF!,#REF!,#REF!</definedName>
    <definedName name="Z_03CBBABC_5E1E_11D4_B95C_000629B12FF7_.wvu.PrintArea" localSheetId="1" hidden="1">'Schedule F IslIntCos'!$E$521:$F$530</definedName>
    <definedName name="Z_03CBBABC_5E1E_11D4_B95C_000629B12FF7_.wvu.PrintArea" localSheetId="0" hidden="1">'Schedule F Rev to Cost'!#REF!</definedName>
    <definedName name="Z_03CBBABC_5E1E_11D4_B95C_000629B12FF7_.wvu.PrintArea" localSheetId="2" hidden="1">'Schedule G IslIntCos'!$E$521:$F$530</definedName>
    <definedName name="Z_03CBBABC_5E1E_11D4_B95C_000629B12FF7_.wvu.PrintArea" localSheetId="3" hidden="1">'Schedule G Rev to Cost'!#REF!</definedName>
    <definedName name="Z_03CBBABC_5E1E_11D4_B95C_000629B12FF7_.wvu.PrintTitles" localSheetId="2" hidden="1">'Schedule G IslIntCos'!$E:$E</definedName>
    <definedName name="Z_03CBBABC_5E1E_11D4_B95C_000629B12FF7_.wvu.PrintTitles" hidden="1">'Schedule F IslIntCos'!$E:$E</definedName>
    <definedName name="Z_03CBBABD_5E1E_11D4_B95C_000629B12FF7_.wvu.Cols" localSheetId="2" hidden="1">#REF!,#REF!,#REF!,#REF!</definedName>
    <definedName name="Z_03CBBABD_5E1E_11D4_B95C_000629B12FF7_.wvu.Cols" localSheetId="3" hidden="1">#REF!,#REF!,#REF!,#REF!</definedName>
    <definedName name="Z_03CBBABD_5E1E_11D4_B95C_000629B12FF7_.wvu.Cols" hidden="1">#REF!,#REF!,#REF!,#REF!</definedName>
    <definedName name="Z_03CBBABD_5E1E_11D4_B95C_000629B12FF7_.wvu.PrintArea" localSheetId="1" hidden="1">'Schedule F IslIntCos'!$E$521:$F$530</definedName>
    <definedName name="Z_03CBBABD_5E1E_11D4_B95C_000629B12FF7_.wvu.PrintArea" localSheetId="0" hidden="1">'Schedule F Rev to Cost'!#REF!</definedName>
    <definedName name="Z_03CBBABD_5E1E_11D4_B95C_000629B12FF7_.wvu.PrintArea" localSheetId="2" hidden="1">'Schedule G IslIntCos'!$E$521:$F$530</definedName>
    <definedName name="Z_03CBBABD_5E1E_11D4_B95C_000629B12FF7_.wvu.PrintArea" localSheetId="3" hidden="1">'Schedule G Rev to Cost'!#REF!</definedName>
    <definedName name="Z_03CBBABD_5E1E_11D4_B95C_000629B12FF7_.wvu.PrintTitles" localSheetId="2" hidden="1">'Schedule G IslIntCos'!$E:$E</definedName>
    <definedName name="Z_03CBBABD_5E1E_11D4_B95C_000629B12FF7_.wvu.PrintTitles" hidden="1">'Schedule F IslIntCos'!$E:$E</definedName>
    <definedName name="Z_03CBBABE_5E1E_11D4_B95C_000629B12FF7_.wvu.Cols" localSheetId="2" hidden="1">#REF!,#REF!,#REF!,#REF!</definedName>
    <definedName name="Z_03CBBABE_5E1E_11D4_B95C_000629B12FF7_.wvu.Cols" localSheetId="3" hidden="1">#REF!,#REF!,#REF!,#REF!</definedName>
    <definedName name="Z_03CBBABE_5E1E_11D4_B95C_000629B12FF7_.wvu.Cols" hidden="1">#REF!,#REF!,#REF!,#REF!</definedName>
    <definedName name="Z_03CBBABE_5E1E_11D4_B95C_000629B12FF7_.wvu.PrintArea" localSheetId="1" hidden="1">'Schedule F IslIntCos'!$E$521:$F$530</definedName>
    <definedName name="Z_03CBBABE_5E1E_11D4_B95C_000629B12FF7_.wvu.PrintArea" localSheetId="0" hidden="1">'Schedule F Rev to Cost'!#REF!</definedName>
    <definedName name="Z_03CBBABE_5E1E_11D4_B95C_000629B12FF7_.wvu.PrintArea" localSheetId="2" hidden="1">'Schedule G IslIntCos'!$E$521:$F$530</definedName>
    <definedName name="Z_03CBBABE_5E1E_11D4_B95C_000629B12FF7_.wvu.PrintArea" localSheetId="3" hidden="1">'Schedule G Rev to Cost'!#REF!</definedName>
    <definedName name="Z_03CBBABE_5E1E_11D4_B95C_000629B12FF7_.wvu.PrintTitles" localSheetId="2" hidden="1">'Schedule G IslIntCos'!$E:$E</definedName>
    <definedName name="Z_03CBBABE_5E1E_11D4_B95C_000629B12FF7_.wvu.PrintTitles" hidden="1">'Schedule F IslIntCos'!$E:$E</definedName>
    <definedName name="Z_03CBBABF_5E1E_11D4_B95C_000629B12FF7_.wvu.Cols" localSheetId="2" hidden="1">#REF!,#REF!,#REF!,#REF!</definedName>
    <definedName name="Z_03CBBABF_5E1E_11D4_B95C_000629B12FF7_.wvu.Cols" localSheetId="3" hidden="1">#REF!,#REF!,#REF!,#REF!</definedName>
    <definedName name="Z_03CBBABF_5E1E_11D4_B95C_000629B12FF7_.wvu.Cols" hidden="1">#REF!,#REF!,#REF!,#REF!</definedName>
    <definedName name="Z_03CBBABF_5E1E_11D4_B95C_000629B12FF7_.wvu.PrintArea" localSheetId="1" hidden="1">'Schedule F IslIntCos'!$E$521:$F$530</definedName>
    <definedName name="Z_03CBBABF_5E1E_11D4_B95C_000629B12FF7_.wvu.PrintArea" localSheetId="0" hidden="1">'Schedule F Rev to Cost'!#REF!</definedName>
    <definedName name="Z_03CBBABF_5E1E_11D4_B95C_000629B12FF7_.wvu.PrintArea" localSheetId="2" hidden="1">'Schedule G IslIntCos'!$E$521:$F$530</definedName>
    <definedName name="Z_03CBBABF_5E1E_11D4_B95C_000629B12FF7_.wvu.PrintArea" localSheetId="3" hidden="1">'Schedule G Rev to Cost'!#REF!</definedName>
    <definedName name="Z_03CBBABF_5E1E_11D4_B95C_000629B12FF7_.wvu.PrintTitles" localSheetId="2" hidden="1">'Schedule G IslIntCos'!$E:$E</definedName>
    <definedName name="Z_03CBBABF_5E1E_11D4_B95C_000629B12FF7_.wvu.PrintTitles" hidden="1">'Schedule F IslIntCos'!$E:$E</definedName>
    <definedName name="Z_03CBBAC0_5E1E_11D4_B95C_000629B12FF7_.wvu.Cols" localSheetId="2" hidden="1">#REF!,#REF!,#REF!,#REF!</definedName>
    <definedName name="Z_03CBBAC0_5E1E_11D4_B95C_000629B12FF7_.wvu.Cols" localSheetId="3" hidden="1">#REF!,#REF!,#REF!,#REF!</definedName>
    <definedName name="Z_03CBBAC0_5E1E_11D4_B95C_000629B12FF7_.wvu.Cols" hidden="1">#REF!,#REF!,#REF!,#REF!</definedName>
    <definedName name="Z_03CBBAC0_5E1E_11D4_B95C_000629B12FF7_.wvu.PrintArea" localSheetId="1" hidden="1">'Schedule F IslIntCos'!$E$521:$F$530</definedName>
    <definedName name="Z_03CBBAC0_5E1E_11D4_B95C_000629B12FF7_.wvu.PrintArea" localSheetId="0" hidden="1">'Schedule F Rev to Cost'!#REF!</definedName>
    <definedName name="Z_03CBBAC0_5E1E_11D4_B95C_000629B12FF7_.wvu.PrintArea" localSheetId="2" hidden="1">'Schedule G IslIntCos'!$E$521:$F$530</definedName>
    <definedName name="Z_03CBBAC0_5E1E_11D4_B95C_000629B12FF7_.wvu.PrintArea" localSheetId="3" hidden="1">'Schedule G Rev to Cost'!#REF!</definedName>
    <definedName name="Z_03CBBAC0_5E1E_11D4_B95C_000629B12FF7_.wvu.PrintTitles" localSheetId="2" hidden="1">'Schedule G IslIntCos'!$E:$E</definedName>
    <definedName name="Z_03CBBAC0_5E1E_11D4_B95C_000629B12FF7_.wvu.PrintTitles" hidden="1">'Schedule F IslIntCos'!$E:$E</definedName>
    <definedName name="Z_03CBBAC1_5E1E_11D4_B95C_000629B12FF7_.wvu.Cols" localSheetId="2" hidden="1">#REF!,#REF!,#REF!,#REF!</definedName>
    <definedName name="Z_03CBBAC1_5E1E_11D4_B95C_000629B12FF7_.wvu.Cols" localSheetId="3" hidden="1">#REF!,#REF!,#REF!,#REF!</definedName>
    <definedName name="Z_03CBBAC1_5E1E_11D4_B95C_000629B12FF7_.wvu.Cols" hidden="1">#REF!,#REF!,#REF!,#REF!</definedName>
    <definedName name="Z_03CBBAC1_5E1E_11D4_B95C_000629B12FF7_.wvu.PrintArea" localSheetId="1" hidden="1">'Schedule F IslIntCos'!$E$521:$F$530</definedName>
    <definedName name="Z_03CBBAC1_5E1E_11D4_B95C_000629B12FF7_.wvu.PrintArea" localSheetId="0" hidden="1">'Schedule F Rev to Cost'!#REF!</definedName>
    <definedName name="Z_03CBBAC1_5E1E_11D4_B95C_000629B12FF7_.wvu.PrintArea" localSheetId="2" hidden="1">'Schedule G IslIntCos'!$E$521:$F$530</definedName>
    <definedName name="Z_03CBBAC1_5E1E_11D4_B95C_000629B12FF7_.wvu.PrintArea" localSheetId="3" hidden="1">'Schedule G Rev to Cost'!#REF!</definedName>
    <definedName name="Z_03CBBAC1_5E1E_11D4_B95C_000629B12FF7_.wvu.PrintTitles" localSheetId="2" hidden="1">'Schedule G IslIntCos'!$E:$E</definedName>
    <definedName name="Z_03CBBAC1_5E1E_11D4_B95C_000629B12FF7_.wvu.PrintTitles" hidden="1">'Schedule F IslIntCos'!$E:$E</definedName>
    <definedName name="Z_03CBBAC2_5E1E_11D4_B95C_000629B12FF7_.wvu.Cols" localSheetId="1" hidden="1">'Schedule F IslIntCos'!#REF!,'Schedule F IslIntCos'!$F:$F,'Schedule F IslIntCos'!#REF!</definedName>
    <definedName name="Z_03CBBAC2_5E1E_11D4_B95C_000629B12FF7_.wvu.Cols" localSheetId="2" hidden="1">'Schedule G IslIntCos'!#REF!,'Schedule G IslIntCos'!$F:$F,'Schedule G IslIntCos'!#REF!</definedName>
    <definedName name="Z_03CBBAC2_5E1E_11D4_B95C_000629B12FF7_.wvu.PrintArea" localSheetId="1" hidden="1">'Schedule F IslIntCos'!$D$272:$V$322</definedName>
    <definedName name="Z_03CBBAC2_5E1E_11D4_B95C_000629B12FF7_.wvu.PrintArea" localSheetId="0" hidden="1">'Schedule F Rev to Cost'!#REF!</definedName>
    <definedName name="Z_03CBBAC2_5E1E_11D4_B95C_000629B12FF7_.wvu.PrintArea" localSheetId="2" hidden="1">'Schedule G IslIntCos'!$D$272:$V$322</definedName>
    <definedName name="Z_03CBBAC2_5E1E_11D4_B95C_000629B12FF7_.wvu.PrintArea" localSheetId="3" hidden="1">'Schedule G Rev to Cost'!#REF!</definedName>
    <definedName name="Z_03CBBAC2_5E1E_11D4_B95C_000629B12FF7_.wvu.PrintTitles" localSheetId="2" hidden="1">'Schedule G IslIntCos'!$E:$E</definedName>
    <definedName name="Z_03CBBAC2_5E1E_11D4_B95C_000629B12FF7_.wvu.PrintTitles" hidden="1">'Schedule F IslIntCos'!$E:$E</definedName>
    <definedName name="Z_03CBBAC3_5E1E_11D4_B95C_000629B12FF7_.wvu.Cols" localSheetId="1" hidden="1">'Schedule F IslIntCos'!#REF!,'Schedule F IslIntCos'!$F:$F,'Schedule F IslIntCos'!#REF!,'Schedule F IslIntCos'!$K:$K,'Schedule F IslIntCos'!$AA:$AB,'Schedule F IslIntCos'!$AF:$AF</definedName>
    <definedName name="Z_03CBBAC3_5E1E_11D4_B95C_000629B12FF7_.wvu.Cols" localSheetId="2" hidden="1">'Schedule G IslIntCos'!#REF!,'Schedule G IslIntCos'!$F:$F,'Schedule G IslIntCos'!#REF!,'Schedule G IslIntCos'!$K:$K,'Schedule G IslIntCos'!$AA:$AB,'Schedule G IslIntCos'!$AF:$AF</definedName>
    <definedName name="Z_03CBBAC3_5E1E_11D4_B95C_000629B12FF7_.wvu.PrintArea" localSheetId="1" hidden="1">'Schedule F IslIntCos'!$Z$272:$AI$322</definedName>
    <definedName name="Z_03CBBAC3_5E1E_11D4_B95C_000629B12FF7_.wvu.PrintArea" localSheetId="0" hidden="1">'Schedule F Rev to Cost'!#REF!</definedName>
    <definedName name="Z_03CBBAC3_5E1E_11D4_B95C_000629B12FF7_.wvu.PrintArea" localSheetId="2" hidden="1">'Schedule G IslIntCos'!$Z$272:$AI$322</definedName>
    <definedName name="Z_03CBBAC3_5E1E_11D4_B95C_000629B12FF7_.wvu.PrintArea" localSheetId="3" hidden="1">'Schedule G Rev to Cost'!#REF!</definedName>
    <definedName name="Z_03CBBAC4_5E1E_11D4_B95C_000629B12FF7_.wvu.Cols" localSheetId="1" hidden="1">'Schedule F IslIntCos'!#REF!,'Schedule F IslIntCos'!$F:$F,'Schedule F IslIntCos'!#REF!,'Schedule F IslIntCos'!$AA:$AB,'Schedule F IslIntCos'!$AF:$AF</definedName>
    <definedName name="Z_03CBBAC4_5E1E_11D4_B95C_000629B12FF7_.wvu.Cols" localSheetId="2" hidden="1">'Schedule G IslIntCos'!#REF!,'Schedule G IslIntCos'!$F:$F,'Schedule G IslIntCos'!#REF!,'Schedule G IslIntCos'!$AA:$AB,'Schedule G IslIntCos'!$AF:$AF</definedName>
    <definedName name="Z_03CBBAC4_5E1E_11D4_B95C_000629B12FF7_.wvu.PrintArea" localSheetId="1" hidden="1">'Schedule F IslIntCos'!$D$3:$V$38</definedName>
    <definedName name="Z_03CBBAC4_5E1E_11D4_B95C_000629B12FF7_.wvu.PrintArea" localSheetId="0" hidden="1">'Schedule F Rev to Cost'!#REF!</definedName>
    <definedName name="Z_03CBBAC4_5E1E_11D4_B95C_000629B12FF7_.wvu.PrintArea" localSheetId="2" hidden="1">'Schedule G IslIntCos'!$D$3:$V$38</definedName>
    <definedName name="Z_03CBBAC4_5E1E_11D4_B95C_000629B12FF7_.wvu.PrintArea" localSheetId="3" hidden="1">'Schedule G Rev to Cost'!#REF!</definedName>
    <definedName name="Z_03CBBAC4_5E1E_11D4_B95C_000629B12FF7_.wvu.PrintTitles" localSheetId="2" hidden="1">'Schedule G IslIntCos'!$3:$13</definedName>
    <definedName name="Z_03CBBAC4_5E1E_11D4_B95C_000629B12FF7_.wvu.PrintTitles" hidden="1">'Schedule F IslIntCos'!$3:$13</definedName>
    <definedName name="Z_03CBBAC5_5E1E_11D4_B95C_000629B12FF7_.wvu.Cols" localSheetId="1" hidden="1">'Schedule F IslIntCos'!#REF!,'Schedule F IslIntCos'!$F:$F,'Schedule F IslIntCos'!#REF!,'Schedule F IslIntCos'!$AA:$AB,'Schedule F IslIntCos'!$AF:$AH</definedName>
    <definedName name="Z_03CBBAC5_5E1E_11D4_B95C_000629B12FF7_.wvu.Cols" localSheetId="2" hidden="1">'Schedule G IslIntCos'!#REF!,'Schedule G IslIntCos'!$F:$F,'Schedule G IslIntCos'!#REF!,'Schedule G IslIntCos'!$AA:$AB,'Schedule G IslIntCos'!$AF:$AH</definedName>
    <definedName name="Z_03CBBAC5_5E1E_11D4_B95C_000629B12FF7_.wvu.PrintArea" localSheetId="1" hidden="1">'Schedule F IslIntCos'!$D$39:$V$58</definedName>
    <definedName name="Z_03CBBAC5_5E1E_11D4_B95C_000629B12FF7_.wvu.PrintArea" localSheetId="0" hidden="1">'Schedule F Rev to Cost'!#REF!</definedName>
    <definedName name="Z_03CBBAC5_5E1E_11D4_B95C_000629B12FF7_.wvu.PrintArea" localSheetId="2" hidden="1">'Schedule G IslIntCos'!$D$39:$V$58</definedName>
    <definedName name="Z_03CBBAC5_5E1E_11D4_B95C_000629B12FF7_.wvu.PrintArea" localSheetId="3" hidden="1">'Schedule G Rev to Cost'!#REF!</definedName>
    <definedName name="Z_03CBBAC5_5E1E_11D4_B95C_000629B12FF7_.wvu.PrintTitles" localSheetId="2" hidden="1">'Schedule G IslIntCos'!$3:$13</definedName>
    <definedName name="Z_03CBBAC5_5E1E_11D4_B95C_000629B12FF7_.wvu.PrintTitles" hidden="1">'Schedule F IslIntCos'!$3:$13</definedName>
    <definedName name="Z_03CBBAC7_5E1E_11D4_B95C_000629B12FF7_.wvu.Cols" localSheetId="1" hidden="1">'Schedule F IslIntCos'!#REF!,'Schedule F IslIntCos'!$F:$F,'Schedule F IslIntCos'!#REF!,'Schedule F IslIntCos'!$K:$K,'Schedule F IslIntCos'!$AA:$AB,'Schedule F IslIntCos'!$AF:$AF</definedName>
    <definedName name="Z_03CBBAC7_5E1E_11D4_B95C_000629B12FF7_.wvu.Cols" localSheetId="2" hidden="1">'Schedule G IslIntCos'!#REF!,'Schedule G IslIntCos'!$F:$F,'Schedule G IslIntCos'!#REF!,'Schedule G IslIntCos'!$K:$K,'Schedule G IslIntCos'!$AA:$AB,'Schedule G IslIntCos'!$AF:$AF</definedName>
    <definedName name="Z_03CBBAC7_5E1E_11D4_B95C_000629B12FF7_.wvu.PrintArea" localSheetId="1" hidden="1">'Schedule F IslIntCos'!$Z$39:$AI$58</definedName>
    <definedName name="Z_03CBBAC7_5E1E_11D4_B95C_000629B12FF7_.wvu.PrintArea" localSheetId="0" hidden="1">'Schedule F Rev to Cost'!#REF!</definedName>
    <definedName name="Z_03CBBAC7_5E1E_11D4_B95C_000629B12FF7_.wvu.PrintArea" localSheetId="2" hidden="1">'Schedule G IslIntCos'!$Z$39:$AI$58</definedName>
    <definedName name="Z_03CBBAC7_5E1E_11D4_B95C_000629B12FF7_.wvu.PrintArea" localSheetId="3" hidden="1">'Schedule G Rev to Cost'!#REF!</definedName>
    <definedName name="Z_03CBBAC7_5E1E_11D4_B95C_000629B12FF7_.wvu.PrintTitles" localSheetId="2" hidden="1">'Schedule G IslIntCos'!$3:$13</definedName>
    <definedName name="Z_03CBBAC7_5E1E_11D4_B95C_000629B12FF7_.wvu.PrintTitles" hidden="1">'Schedule F IslIntCos'!$3:$13</definedName>
    <definedName name="Z_03CBBACA_5E1E_11D4_B95C_000629B12FF7_.wvu.Cols" localSheetId="1" hidden="1">'Schedule F IslIntCos'!#REF!,'Schedule F IslIntCos'!$F:$F,'Schedule F IslIntCos'!#REF!,'Schedule F IslIntCos'!$AA:$AB,'Schedule F IslIntCos'!$AF:$AF</definedName>
    <definedName name="Z_03CBBACA_5E1E_11D4_B95C_000629B12FF7_.wvu.Cols" localSheetId="2" hidden="1">'Schedule G IslIntCos'!#REF!,'Schedule G IslIntCos'!$F:$F,'Schedule G IslIntCos'!#REF!,'Schedule G IslIntCos'!$AA:$AB,'Schedule G IslIntCos'!$AF:$AF</definedName>
    <definedName name="Z_03CBBACA_5E1E_11D4_B95C_000629B12FF7_.wvu.PrintArea" localSheetId="1" hidden="1">'Schedule F IslIntCos'!$D$97:$V$116</definedName>
    <definedName name="Z_03CBBACA_5E1E_11D4_B95C_000629B12FF7_.wvu.PrintArea" localSheetId="0" hidden="1">'Schedule F Rev to Cost'!#REF!</definedName>
    <definedName name="Z_03CBBACA_5E1E_11D4_B95C_000629B12FF7_.wvu.PrintArea" localSheetId="2" hidden="1">'Schedule G IslIntCos'!$D$97:$V$116</definedName>
    <definedName name="Z_03CBBACA_5E1E_11D4_B95C_000629B12FF7_.wvu.PrintArea" localSheetId="3" hidden="1">'Schedule G Rev to Cost'!#REF!</definedName>
    <definedName name="Z_03CBBACA_5E1E_11D4_B95C_000629B12FF7_.wvu.PrintTitles" localSheetId="2" hidden="1">'Schedule G IslIntCos'!$61:$71</definedName>
    <definedName name="Z_03CBBACA_5E1E_11D4_B95C_000629B12FF7_.wvu.PrintTitles" hidden="1">'Schedule F IslIntCos'!$61:$71</definedName>
    <definedName name="Z_03CBBACB_5E1E_11D4_B95C_000629B12FF7_.wvu.Cols" localSheetId="1" hidden="1">'Schedule F IslIntCos'!#REF!,'Schedule F IslIntCos'!$F:$F,'Schedule F IslIntCos'!#REF!,'Schedule F IslIntCos'!$AA:$AB,'Schedule F IslIntCos'!$AF:$AF</definedName>
    <definedName name="Z_03CBBACB_5E1E_11D4_B95C_000629B12FF7_.wvu.Cols" localSheetId="2" hidden="1">'Schedule G IslIntCos'!#REF!,'Schedule G IslIntCos'!$F:$F,'Schedule G IslIntCos'!#REF!,'Schedule G IslIntCos'!$AA:$AB,'Schedule G IslIntCos'!$AF:$AF</definedName>
    <definedName name="Z_03CBBACB_5E1E_11D4_B95C_000629B12FF7_.wvu.PrintArea" localSheetId="1" hidden="1">'Schedule F IslIntCos'!$D$222:$V$270</definedName>
    <definedName name="Z_03CBBACB_5E1E_11D4_B95C_000629B12FF7_.wvu.PrintArea" localSheetId="0" hidden="1">'Schedule F Rev to Cost'!#REF!</definedName>
    <definedName name="Z_03CBBACB_5E1E_11D4_B95C_000629B12FF7_.wvu.PrintArea" localSheetId="2" hidden="1">'Schedule G IslIntCos'!$D$222:$V$270</definedName>
    <definedName name="Z_03CBBACB_5E1E_11D4_B95C_000629B12FF7_.wvu.PrintArea" localSheetId="3" hidden="1">'Schedule G Rev to Cost'!#REF!</definedName>
    <definedName name="Z_03CBBACB_5E1E_11D4_B95C_000629B12FF7_.wvu.PrintTitles" localSheetId="2" hidden="1">'Schedule G IslIntCos'!$222:$230</definedName>
    <definedName name="Z_03CBBACB_5E1E_11D4_B95C_000629B12FF7_.wvu.PrintTitles" hidden="1">'Schedule F IslIntCos'!$222:$230</definedName>
    <definedName name="Z_03CBBACC_5E1E_11D4_B95C_000629B12FF7_.wvu.Cols" localSheetId="1" hidden="1">'Schedule F IslIntCos'!#REF!,'Schedule F IslIntCos'!$F:$F,'Schedule F IslIntCos'!#REF!,'Schedule F IslIntCos'!$K:$K,'Schedule F IslIntCos'!$AA:$AB,'Schedule F IslIntCos'!$AF:$AF</definedName>
    <definedName name="Z_03CBBACC_5E1E_11D4_B95C_000629B12FF7_.wvu.Cols" localSheetId="2" hidden="1">'Schedule G IslIntCos'!#REF!,'Schedule G IslIntCos'!$F:$F,'Schedule G IslIntCos'!#REF!,'Schedule G IslIntCos'!$K:$K,'Schedule G IslIntCos'!$AA:$AB,'Schedule G IslIntCos'!$AF:$AF</definedName>
    <definedName name="Z_03CBBACC_5E1E_11D4_B95C_000629B12FF7_.wvu.PrintArea" localSheetId="1" hidden="1">'Schedule F IslIntCos'!$Z$222:$AI$270</definedName>
    <definedName name="Z_03CBBACC_5E1E_11D4_B95C_000629B12FF7_.wvu.PrintArea" localSheetId="0" hidden="1">'Schedule F Rev to Cost'!#REF!</definedName>
    <definedName name="Z_03CBBACC_5E1E_11D4_B95C_000629B12FF7_.wvu.PrintArea" localSheetId="2" hidden="1">'Schedule G IslIntCos'!$Z$222:$AI$270</definedName>
    <definedName name="Z_03CBBACC_5E1E_11D4_B95C_000629B12FF7_.wvu.PrintArea" localSheetId="3" hidden="1">'Schedule G Rev to Cost'!#REF!</definedName>
    <definedName name="Z_03CBBACC_5E1E_11D4_B95C_000629B12FF7_.wvu.PrintTitles" localSheetId="2" hidden="1">'Schedule G IslIntCos'!$222:$230</definedName>
    <definedName name="Z_03CBBACC_5E1E_11D4_B95C_000629B12FF7_.wvu.PrintTitles" hidden="1">'Schedule F IslIntCos'!$222:$230</definedName>
    <definedName name="Z_03CBBACD_5E1E_11D4_B95C_000629B12FF7_.wvu.Cols" localSheetId="1" hidden="1">'Schedule F IslIntCos'!#REF!,'Schedule F IslIntCos'!$F:$F,'Schedule F IslIntCos'!#REF!,'Schedule F IslIntCos'!$AA:$AB,'Schedule F IslIntCos'!$AF:$AF</definedName>
    <definedName name="Z_03CBBACD_5E1E_11D4_B95C_000629B12FF7_.wvu.Cols" localSheetId="2" hidden="1">'Schedule G IslIntCos'!#REF!,'Schedule G IslIntCos'!$F:$F,'Schedule G IslIntCos'!#REF!,'Schedule G IslIntCos'!$AA:$AB,'Schedule G IslIntCos'!$AF:$AF</definedName>
    <definedName name="Z_03CBBACD_5E1E_11D4_B95C_000629B12FF7_.wvu.PrintArea" localSheetId="1" hidden="1">'Schedule F IslIntCos'!$D$121:$V$176</definedName>
    <definedName name="Z_03CBBACD_5E1E_11D4_B95C_000629B12FF7_.wvu.PrintArea" localSheetId="0" hidden="1">'Schedule F Rev to Cost'!#REF!</definedName>
    <definedName name="Z_03CBBACD_5E1E_11D4_B95C_000629B12FF7_.wvu.PrintArea" localSheetId="2" hidden="1">'Schedule G IslIntCos'!$D$121:$V$176</definedName>
    <definedName name="Z_03CBBACD_5E1E_11D4_B95C_000629B12FF7_.wvu.PrintArea" localSheetId="3" hidden="1">'Schedule G Rev to Cost'!#REF!</definedName>
    <definedName name="Z_03CBBACD_5E1E_11D4_B95C_000629B12FF7_.wvu.PrintTitles" localSheetId="2" hidden="1">'Schedule G IslIntCos'!$121:$131</definedName>
    <definedName name="Z_03CBBACD_5E1E_11D4_B95C_000629B12FF7_.wvu.PrintTitles" hidden="1">'Schedule F IslIntCos'!$121:$131</definedName>
    <definedName name="Z_03CBBACE_5E1E_11D4_B95C_000629B12FF7_.wvu.Cols" localSheetId="1" hidden="1">'Schedule F IslIntCos'!#REF!,'Schedule F IslIntCos'!$F:$F,'Schedule F IslIntCos'!#REF!,'Schedule F IslIntCos'!$AA:$AB,'Schedule F IslIntCos'!$AF:$AF</definedName>
    <definedName name="Z_03CBBACE_5E1E_11D4_B95C_000629B12FF7_.wvu.Cols" localSheetId="2" hidden="1">'Schedule G IslIntCos'!#REF!,'Schedule G IslIntCos'!$F:$F,'Schedule G IslIntCos'!#REF!,'Schedule G IslIntCos'!$AA:$AB,'Schedule G IslIntCos'!$AF:$AF</definedName>
    <definedName name="Z_03CBBACE_5E1E_11D4_B95C_000629B12FF7_.wvu.PrintArea" localSheetId="1" hidden="1">'Schedule F IslIntCos'!$D$333:$V$387</definedName>
    <definedName name="Z_03CBBACE_5E1E_11D4_B95C_000629B12FF7_.wvu.PrintArea" localSheetId="0" hidden="1">'Schedule F Rev to Cost'!#REF!</definedName>
    <definedName name="Z_03CBBACE_5E1E_11D4_B95C_000629B12FF7_.wvu.PrintArea" localSheetId="2" hidden="1">'Schedule G IslIntCos'!$D$333:$V$387</definedName>
    <definedName name="Z_03CBBACE_5E1E_11D4_B95C_000629B12FF7_.wvu.PrintArea" localSheetId="3" hidden="1">'Schedule G Rev to Cost'!#REF!</definedName>
    <definedName name="Z_03CBBACF_5E1E_11D4_B95C_000629B12FF7_.wvu.Cols" localSheetId="1" hidden="1">'Schedule F IslIntCos'!#REF!,'Schedule F IslIntCos'!$F:$F,'Schedule F IslIntCos'!#REF!,'Schedule F IslIntCos'!$AA:$AB,'Schedule F IslIntCos'!$AF:$AF</definedName>
    <definedName name="Z_03CBBACF_5E1E_11D4_B95C_000629B12FF7_.wvu.Cols" localSheetId="2" hidden="1">'Schedule G IslIntCos'!#REF!,'Schedule G IslIntCos'!$F:$F,'Schedule G IslIntCos'!#REF!,'Schedule G IslIntCos'!$AA:$AB,'Schedule G IslIntCos'!$AF:$AF</definedName>
    <definedName name="Z_03CBBACF_5E1E_11D4_B95C_000629B12FF7_.wvu.PrintArea" localSheetId="1" hidden="1">'Schedule F IslIntCos'!$D$389:$V$469</definedName>
    <definedName name="Z_03CBBACF_5E1E_11D4_B95C_000629B12FF7_.wvu.PrintArea" localSheetId="0" hidden="1">'Schedule F Rev to Cost'!#REF!</definedName>
    <definedName name="Z_03CBBACF_5E1E_11D4_B95C_000629B12FF7_.wvu.PrintArea" localSheetId="2" hidden="1">'Schedule G IslIntCos'!$D$389:$V$469</definedName>
    <definedName name="Z_03CBBACF_5E1E_11D4_B95C_000629B12FF7_.wvu.PrintArea" localSheetId="3" hidden="1">'Schedule G Rev to Cost'!#REF!</definedName>
    <definedName name="Z_03CBBAD0_5E1E_11D4_B95C_000629B12FF7_.wvu.Cols" localSheetId="1" hidden="1">'Schedule F IslIntCos'!#REF!,'Schedule F IslIntCos'!$F:$F,'Schedule F IslIntCos'!$K:$K,'Schedule F IslIntCos'!$AA:$AB,'Schedule F IslIntCos'!$AF:$AF</definedName>
    <definedName name="Z_03CBBAD0_5E1E_11D4_B95C_000629B12FF7_.wvu.Cols" localSheetId="2" hidden="1">'Schedule G IslIntCos'!#REF!,'Schedule G IslIntCos'!$F:$F,'Schedule G IslIntCos'!$K:$K,'Schedule G IslIntCos'!$AA:$AB,'Schedule G IslIntCos'!$AF:$AF</definedName>
    <definedName name="Z_03CBBAD0_5E1E_11D4_B95C_000629B12FF7_.wvu.PrintArea" localSheetId="1" hidden="1">'Schedule F IslIntCos'!$D$496:$T$554</definedName>
    <definedName name="Z_03CBBAD0_5E1E_11D4_B95C_000629B12FF7_.wvu.PrintArea" localSheetId="0" hidden="1">'Schedule F Rev to Cost'!#REF!</definedName>
    <definedName name="Z_03CBBAD0_5E1E_11D4_B95C_000629B12FF7_.wvu.PrintArea" localSheetId="2" hidden="1">'Schedule G IslIntCos'!$D$496:$T$554</definedName>
    <definedName name="Z_03CBBAD0_5E1E_11D4_B95C_000629B12FF7_.wvu.PrintArea" localSheetId="3" hidden="1">'Schedule G Rev to Cost'!#REF!</definedName>
    <definedName name="Z_03CBBAD2_5E1E_11D4_B95C_000629B12FF7_.wvu.Cols" localSheetId="1" hidden="1">'Schedule F IslIntCos'!#REF!,'Schedule F IslIntCos'!$F:$F,'Schedule F IslIntCos'!#REF!,'Schedule F IslIntCos'!$K:$K</definedName>
    <definedName name="Z_03CBBAD2_5E1E_11D4_B95C_000629B12FF7_.wvu.Cols" localSheetId="2" hidden="1">'Schedule G IslIntCos'!#REF!,'Schedule G IslIntCos'!$F:$F,'Schedule G IslIntCos'!#REF!,'Schedule G IslIntCos'!$K:$K</definedName>
    <definedName name="Z_03CBBAD2_5E1E_11D4_B95C_000629B12FF7_.wvu.PrintArea" localSheetId="1" hidden="1">'Schedule F IslIntCos'!$D$272:$V$322</definedName>
    <definedName name="Z_03CBBAD2_5E1E_11D4_B95C_000629B12FF7_.wvu.PrintArea" localSheetId="0" hidden="1">'Schedule F Rev to Cost'!#REF!</definedName>
    <definedName name="Z_03CBBAD2_5E1E_11D4_B95C_000629B12FF7_.wvu.PrintArea" localSheetId="2" hidden="1">'Schedule G IslIntCos'!$D$272:$V$322</definedName>
    <definedName name="Z_03CBBAD2_5E1E_11D4_B95C_000629B12FF7_.wvu.PrintArea" localSheetId="3" hidden="1">'Schedule G Rev to Cost'!#REF!</definedName>
    <definedName name="Z_03CBBAD2_5E1E_11D4_B95C_000629B12FF7_.wvu.PrintTitles" localSheetId="2" hidden="1">'Schedule G IslIntCos'!$E:$E</definedName>
    <definedName name="Z_03CBBAD2_5E1E_11D4_B95C_000629B12FF7_.wvu.PrintTitles" hidden="1">'Schedule F IslIntCos'!$E:$E</definedName>
    <definedName name="Z_03CBBAD3_5E1E_11D4_B95C_000629B12FF7_.wvu.Cols" localSheetId="1" hidden="1">'Schedule F IslIntCos'!#REF!,'Schedule F IslIntCos'!$F:$F,'Schedule F IslIntCos'!$K:$K,'Schedule F IslIntCos'!$AA:$AB,'Schedule F IslIntCos'!$AF:$AF</definedName>
    <definedName name="Z_03CBBAD3_5E1E_11D4_B95C_000629B12FF7_.wvu.Cols" localSheetId="2" hidden="1">'Schedule G IslIntCos'!#REF!,'Schedule G IslIntCos'!$F:$F,'Schedule G IslIntCos'!$K:$K,'Schedule G IslIntCos'!$AA:$AB,'Schedule G IslIntCos'!$AF:$AF</definedName>
    <definedName name="Z_03CBBAD3_5E1E_11D4_B95C_000629B12FF7_.wvu.PrintArea" localSheetId="1" hidden="1">'Schedule F IslIntCos'!$D$496:$T$554</definedName>
    <definedName name="Z_03CBBAD3_5E1E_11D4_B95C_000629B12FF7_.wvu.PrintArea" localSheetId="0" hidden="1">'Schedule F Rev to Cost'!#REF!</definedName>
    <definedName name="Z_03CBBAD3_5E1E_11D4_B95C_000629B12FF7_.wvu.PrintArea" localSheetId="2" hidden="1">'Schedule G IslIntCos'!$D$496:$T$554</definedName>
    <definedName name="Z_03CBBAD3_5E1E_11D4_B95C_000629B12FF7_.wvu.PrintArea" localSheetId="3" hidden="1">'Schedule G Rev to Cost'!#REF!</definedName>
    <definedName name="Z_03CBBAD5_5E1E_11D4_B95C_000629B12FF7_.wvu.Cols" localSheetId="1" hidden="1">'Schedule F IslIntCos'!#REF!,'Schedule F IslIntCos'!$F:$F,'Schedule F IslIntCos'!$K:$K,'Schedule F IslIntCos'!$AA:$AB,'Schedule F IslIntCos'!$AF:$AF</definedName>
    <definedName name="Z_03CBBAD5_5E1E_11D4_B95C_000629B12FF7_.wvu.Cols" localSheetId="2" hidden="1">'Schedule G IslIntCos'!#REF!,'Schedule G IslIntCos'!$F:$F,'Schedule G IslIntCos'!$K:$K,'Schedule G IslIntCos'!$AA:$AB,'Schedule G IslIntCos'!$AF:$AF</definedName>
    <definedName name="Z_03CBBAD5_5E1E_11D4_B95C_000629B12FF7_.wvu.PrintArea" localSheetId="1" hidden="1">'Schedule F IslIntCos'!$D$496:$T$554</definedName>
    <definedName name="Z_03CBBAD5_5E1E_11D4_B95C_000629B12FF7_.wvu.PrintArea" localSheetId="0" hidden="1">'Schedule F Rev to Cost'!#REF!</definedName>
    <definedName name="Z_03CBBAD5_5E1E_11D4_B95C_000629B12FF7_.wvu.PrintArea" localSheetId="2" hidden="1">'Schedule G IslIntCos'!$D$496:$T$554</definedName>
    <definedName name="Z_03CBBAD5_5E1E_11D4_B95C_000629B12FF7_.wvu.PrintArea" localSheetId="3" hidden="1">'Schedule G Rev to Cost'!#REF!</definedName>
    <definedName name="Z_03CBBAD9_5E1E_11D4_B95C_000629B12FF7_.wvu.Cols" localSheetId="1" hidden="1">'Schedule F IslIntCos'!#REF!,'Schedule F IslIntCos'!$F:$F,'Schedule F IslIntCos'!$K:$K,'Schedule F IslIntCos'!$AA:$AB,'Schedule F IslIntCos'!$AF:$AF</definedName>
    <definedName name="Z_03CBBAD9_5E1E_11D4_B95C_000629B12FF7_.wvu.Cols" localSheetId="2" hidden="1">'Schedule G IslIntCos'!#REF!,'Schedule G IslIntCos'!$F:$F,'Schedule G IslIntCos'!$K:$K,'Schedule G IslIntCos'!$AA:$AB,'Schedule G IslIntCos'!$AF:$AF</definedName>
    <definedName name="Z_03CBBAD9_5E1E_11D4_B95C_000629B12FF7_.wvu.PrintArea" localSheetId="1" hidden="1">'Schedule F IslIntCos'!$D$496:$T$554</definedName>
    <definedName name="Z_03CBBAD9_5E1E_11D4_B95C_000629B12FF7_.wvu.PrintArea" localSheetId="0" hidden="1">'Schedule F Rev to Cost'!#REF!</definedName>
    <definedName name="Z_03CBBAD9_5E1E_11D4_B95C_000629B12FF7_.wvu.PrintArea" localSheetId="2" hidden="1">'Schedule G IslIntCos'!$D$496:$T$554</definedName>
    <definedName name="Z_03CBBAD9_5E1E_11D4_B95C_000629B12FF7_.wvu.PrintArea" localSheetId="3" hidden="1">'Schedule G Rev to Cost'!#REF!</definedName>
    <definedName name="Z_03CBBAE0_5E1E_11D4_B95C_000629B12FF7_.wvu.Cols" localSheetId="1" hidden="1">'Schedule F IslIntCos'!#REF!,'Schedule F IslIntCos'!$F:$F,'Schedule F IslIntCos'!$K:$K,'Schedule F IslIntCos'!$AA:$AB,'Schedule F IslIntCos'!$AF:$AF</definedName>
    <definedName name="Z_03CBBAE0_5E1E_11D4_B95C_000629B12FF7_.wvu.Cols" localSheetId="2" hidden="1">'Schedule G IslIntCos'!#REF!,'Schedule G IslIntCos'!$F:$F,'Schedule G IslIntCos'!$K:$K,'Schedule G IslIntCos'!$AA:$AB,'Schedule G IslIntCos'!$AF:$AF</definedName>
    <definedName name="Z_03CBBAE0_5E1E_11D4_B95C_000629B12FF7_.wvu.PrintArea" localSheetId="1" hidden="1">'Schedule F IslIntCos'!$D$496:$T$554</definedName>
    <definedName name="Z_03CBBAE0_5E1E_11D4_B95C_000629B12FF7_.wvu.PrintArea" localSheetId="0" hidden="1">'Schedule F Rev to Cost'!#REF!</definedName>
    <definedName name="Z_03CBBAE0_5E1E_11D4_B95C_000629B12FF7_.wvu.PrintArea" localSheetId="2" hidden="1">'Schedule G IslIntCos'!$D$496:$T$554</definedName>
    <definedName name="Z_03CBBAE0_5E1E_11D4_B95C_000629B12FF7_.wvu.PrintArea" localSheetId="3" hidden="1">'Schedule G Rev to Cost'!#REF!</definedName>
    <definedName name="Z_03CBBAE1_5E1E_11D4_B95C_000629B12FF7_.wvu.Cols" localSheetId="1" hidden="1">'Schedule F IslIntCos'!#REF!,'Schedule F IslIntCos'!$F:$F,'Schedule F IslIntCos'!$K:$K,'Schedule F IslIntCos'!$AA:$AB,'Schedule F IslIntCos'!$AF:$AF</definedName>
    <definedName name="Z_03CBBAE1_5E1E_11D4_B95C_000629B12FF7_.wvu.Cols" localSheetId="2" hidden="1">'Schedule G IslIntCos'!#REF!,'Schedule G IslIntCos'!$F:$F,'Schedule G IslIntCos'!$K:$K,'Schedule G IslIntCos'!$AA:$AB,'Schedule G IslIntCos'!$AF:$AF</definedName>
    <definedName name="Z_03CBBAE1_5E1E_11D4_B95C_000629B12FF7_.wvu.PrintArea" localSheetId="1" hidden="1">'Schedule F IslIntCos'!$D$496:$T$554</definedName>
    <definedName name="Z_03CBBAE1_5E1E_11D4_B95C_000629B12FF7_.wvu.PrintArea" localSheetId="0" hidden="1">'Schedule F Rev to Cost'!#REF!</definedName>
    <definedName name="Z_03CBBAE1_5E1E_11D4_B95C_000629B12FF7_.wvu.PrintArea" localSheetId="2" hidden="1">'Schedule G IslIntCos'!$D$496:$T$554</definedName>
    <definedName name="Z_03CBBAE1_5E1E_11D4_B95C_000629B12FF7_.wvu.PrintArea" localSheetId="3" hidden="1">'Schedule G Rev to Cost'!#REF!</definedName>
    <definedName name="Z_03CBBAE2_5E1E_11D4_B95C_000629B12FF7_.wvu.Cols" localSheetId="1" hidden="1">'Schedule F IslIntCos'!#REF!,'Schedule F IslIntCos'!$F:$F,'Schedule F IslIntCos'!$K:$K,'Schedule F IslIntCos'!$AA:$AB,'Schedule F IslIntCos'!$AF:$AF</definedName>
    <definedName name="Z_03CBBAE2_5E1E_11D4_B95C_000629B12FF7_.wvu.Cols" localSheetId="2" hidden="1">'Schedule G IslIntCos'!#REF!,'Schedule G IslIntCos'!$F:$F,'Schedule G IslIntCos'!$K:$K,'Schedule G IslIntCos'!$AA:$AB,'Schedule G IslIntCos'!$AF:$AF</definedName>
    <definedName name="Z_03CBBAE2_5E1E_11D4_B95C_000629B12FF7_.wvu.PrintArea" localSheetId="1" hidden="1">'Schedule F IslIntCos'!$D$496:$T$554</definedName>
    <definedName name="Z_03CBBAE2_5E1E_11D4_B95C_000629B12FF7_.wvu.PrintArea" localSheetId="0" hidden="1">'Schedule F Rev to Cost'!#REF!</definedName>
    <definedName name="Z_03CBBAE2_5E1E_11D4_B95C_000629B12FF7_.wvu.PrintArea" localSheetId="2" hidden="1">'Schedule G IslIntCos'!$D$496:$T$554</definedName>
    <definedName name="Z_03CBBAE2_5E1E_11D4_B95C_000629B12FF7_.wvu.PrintArea" localSheetId="3" hidden="1">'Schedule G Rev to Cost'!#REF!</definedName>
    <definedName name="Z_03CBBAE3_5E1E_11D4_B95C_000629B12FF7_.wvu.Cols" localSheetId="1" hidden="1">'Schedule F IslIntCos'!#REF!,'Schedule F IslIntCos'!$F:$F,'Schedule F IslIntCos'!$K:$K,'Schedule F IslIntCos'!$AA:$AB,'Schedule F IslIntCos'!$AF:$AF</definedName>
    <definedName name="Z_03CBBAE3_5E1E_11D4_B95C_000629B12FF7_.wvu.Cols" localSheetId="2" hidden="1">'Schedule G IslIntCos'!#REF!,'Schedule G IslIntCos'!$F:$F,'Schedule G IslIntCos'!$K:$K,'Schedule G IslIntCos'!$AA:$AB,'Schedule G IslIntCos'!$AF:$AF</definedName>
    <definedName name="Z_03CBBAE3_5E1E_11D4_B95C_000629B12FF7_.wvu.PrintArea" localSheetId="1" hidden="1">'Schedule F IslIntCos'!$D$496:$T$554</definedName>
    <definedName name="Z_03CBBAE3_5E1E_11D4_B95C_000629B12FF7_.wvu.PrintArea" localSheetId="0" hidden="1">'Schedule F Rev to Cost'!#REF!</definedName>
    <definedName name="Z_03CBBAE3_5E1E_11D4_B95C_000629B12FF7_.wvu.PrintArea" localSheetId="2" hidden="1">'Schedule G IslIntCos'!$D$496:$T$554</definedName>
    <definedName name="Z_03CBBAE3_5E1E_11D4_B95C_000629B12FF7_.wvu.PrintArea" localSheetId="3" hidden="1">'Schedule G Rev to Cost'!#REF!</definedName>
    <definedName name="Z_03CBBAE4_5E1E_11D4_B95C_000629B12FF7_.wvu.Cols" localSheetId="1" hidden="1">'Schedule F IslIntCos'!#REF!,'Schedule F IslIntCos'!$F:$F,'Schedule F IslIntCos'!$K:$K,'Schedule F IslIntCos'!$AA:$AB,'Schedule F IslIntCos'!$AF:$AF</definedName>
    <definedName name="Z_03CBBAE4_5E1E_11D4_B95C_000629B12FF7_.wvu.Cols" localSheetId="2" hidden="1">'Schedule G IslIntCos'!#REF!,'Schedule G IslIntCos'!$F:$F,'Schedule G IslIntCos'!$K:$K,'Schedule G IslIntCos'!$AA:$AB,'Schedule G IslIntCos'!$AF:$AF</definedName>
    <definedName name="Z_03CBBAE4_5E1E_11D4_B95C_000629B12FF7_.wvu.PrintArea" localSheetId="1" hidden="1">'Schedule F IslIntCos'!$D$496:$T$554</definedName>
    <definedName name="Z_03CBBAE4_5E1E_11D4_B95C_000629B12FF7_.wvu.PrintArea" localSheetId="0" hidden="1">'Schedule F Rev to Cost'!#REF!</definedName>
    <definedName name="Z_03CBBAE4_5E1E_11D4_B95C_000629B12FF7_.wvu.PrintArea" localSheetId="2" hidden="1">'Schedule G IslIntCos'!$D$496:$T$554</definedName>
    <definedName name="Z_03CBBAE4_5E1E_11D4_B95C_000629B12FF7_.wvu.PrintArea" localSheetId="3" hidden="1">'Schedule G Rev to Cost'!#REF!</definedName>
    <definedName name="Z_03CBBAE5_5E1E_11D4_B95C_000629B12FF7_.wvu.Cols" localSheetId="1" hidden="1">'Schedule F IslIntCos'!#REF!,'Schedule F IslIntCos'!$F:$F,'Schedule F IslIntCos'!$K:$K,'Schedule F IslIntCos'!$AA:$AB,'Schedule F IslIntCos'!$AF:$AF</definedName>
    <definedName name="Z_03CBBAE5_5E1E_11D4_B95C_000629B12FF7_.wvu.Cols" localSheetId="2" hidden="1">'Schedule G IslIntCos'!#REF!,'Schedule G IslIntCos'!$F:$F,'Schedule G IslIntCos'!$K:$K,'Schedule G IslIntCos'!$AA:$AB,'Schedule G IslIntCos'!$AF:$AF</definedName>
    <definedName name="Z_03CBBAE5_5E1E_11D4_B95C_000629B12FF7_.wvu.PrintArea" localSheetId="1" hidden="1">'Schedule F IslIntCos'!$D$496:$T$554</definedName>
    <definedName name="Z_03CBBAE5_5E1E_11D4_B95C_000629B12FF7_.wvu.PrintArea" localSheetId="0" hidden="1">'Schedule F Rev to Cost'!#REF!</definedName>
    <definedName name="Z_03CBBAE5_5E1E_11D4_B95C_000629B12FF7_.wvu.PrintArea" localSheetId="2" hidden="1">'Schedule G IslIntCos'!$D$496:$T$554</definedName>
    <definedName name="Z_03CBBAE5_5E1E_11D4_B95C_000629B12FF7_.wvu.PrintArea" localSheetId="3" hidden="1">'Schedule G Rev to Cost'!#REF!</definedName>
    <definedName name="Z_03CBBAE6_5E1E_11D4_B95C_000629B12FF7_.wvu.Cols" localSheetId="1" hidden="1">'Schedule F IslIntCos'!#REF!,'Schedule F IslIntCos'!$F:$F,'Schedule F IslIntCos'!$K:$K,'Schedule F IslIntCos'!$AA:$AB,'Schedule F IslIntCos'!$AF:$AF</definedName>
    <definedName name="Z_03CBBAE6_5E1E_11D4_B95C_000629B12FF7_.wvu.Cols" localSheetId="2" hidden="1">'Schedule G IslIntCos'!#REF!,'Schedule G IslIntCos'!$F:$F,'Schedule G IslIntCos'!$K:$K,'Schedule G IslIntCos'!$AA:$AB,'Schedule G IslIntCos'!$AF:$AF</definedName>
    <definedName name="Z_03CBBAE6_5E1E_11D4_B95C_000629B12FF7_.wvu.PrintArea" localSheetId="1" hidden="1">'Schedule F IslIntCos'!$D$496:$T$554</definedName>
    <definedName name="Z_03CBBAE6_5E1E_11D4_B95C_000629B12FF7_.wvu.PrintArea" localSheetId="0" hidden="1">'Schedule F Rev to Cost'!#REF!</definedName>
    <definedName name="Z_03CBBAE6_5E1E_11D4_B95C_000629B12FF7_.wvu.PrintArea" localSheetId="2" hidden="1">'Schedule G IslIntCos'!$D$496:$T$554</definedName>
    <definedName name="Z_03CBBAE6_5E1E_11D4_B95C_000629B12FF7_.wvu.PrintArea" localSheetId="3" hidden="1">'Schedule G Rev to Cost'!#REF!</definedName>
    <definedName name="Z_03CBBAE7_5E1E_11D4_B95C_000629B12FF7_.wvu.Cols" localSheetId="1" hidden="1">'Schedule F IslIntCos'!#REF!,'Schedule F IslIntCos'!$F:$F,'Schedule F IslIntCos'!$K:$K,'Schedule F IslIntCos'!$AA:$AB,'Schedule F IslIntCos'!$AF:$AF</definedName>
    <definedName name="Z_03CBBAE7_5E1E_11D4_B95C_000629B12FF7_.wvu.Cols" localSheetId="2" hidden="1">'Schedule G IslIntCos'!#REF!,'Schedule G IslIntCos'!$F:$F,'Schedule G IslIntCos'!$K:$K,'Schedule G IslIntCos'!$AA:$AB,'Schedule G IslIntCos'!$AF:$AF</definedName>
    <definedName name="Z_03CBBAE7_5E1E_11D4_B95C_000629B12FF7_.wvu.PrintArea" localSheetId="1" hidden="1">'Schedule F IslIntCos'!$D$496:$T$554</definedName>
    <definedName name="Z_03CBBAE7_5E1E_11D4_B95C_000629B12FF7_.wvu.PrintArea" localSheetId="0" hidden="1">'Schedule F Rev to Cost'!#REF!</definedName>
    <definedName name="Z_03CBBAE7_5E1E_11D4_B95C_000629B12FF7_.wvu.PrintArea" localSheetId="2" hidden="1">'Schedule G IslIntCos'!$D$496:$T$554</definedName>
    <definedName name="Z_03CBBAE7_5E1E_11D4_B95C_000629B12FF7_.wvu.PrintArea" localSheetId="3" hidden="1">'Schedule G Rev to Cost'!#REF!</definedName>
    <definedName name="Z_03CBBAEF_5E1E_11D4_B95C_000629B12FF7_.wvu.Cols" localSheetId="1" hidden="1">'Schedule F IslIntCos'!#REF!,'Schedule F IslIntCos'!$F:$F,'Schedule F IslIntCos'!$K:$K,'Schedule F IslIntCos'!$AA:$AB,'Schedule F IslIntCos'!$AF:$AF</definedName>
    <definedName name="Z_03CBBAEF_5E1E_11D4_B95C_000629B12FF7_.wvu.Cols" localSheetId="2" hidden="1">'Schedule G IslIntCos'!#REF!,'Schedule G IslIntCos'!$F:$F,'Schedule G IslIntCos'!$K:$K,'Schedule G IslIntCos'!$AA:$AB,'Schedule G IslIntCos'!$AF:$AF</definedName>
    <definedName name="Z_03CBBAEF_5E1E_11D4_B95C_000629B12FF7_.wvu.PrintArea" localSheetId="1" hidden="1">'Schedule F IslIntCos'!$D$496:$T$554</definedName>
    <definedName name="Z_03CBBAEF_5E1E_11D4_B95C_000629B12FF7_.wvu.PrintArea" localSheetId="0" hidden="1">'Schedule F Rev to Cost'!#REF!</definedName>
    <definedName name="Z_03CBBAEF_5E1E_11D4_B95C_000629B12FF7_.wvu.PrintArea" localSheetId="2" hidden="1">'Schedule G IslIntCos'!$D$496:$T$554</definedName>
    <definedName name="Z_03CBBAEF_5E1E_11D4_B95C_000629B12FF7_.wvu.PrintArea" localSheetId="3" hidden="1">'Schedule G Rev to Cost'!#REF!</definedName>
    <definedName name="Z_03CBBAEF_5E1E_11D4_B95C_000629B12FF7_.wvu.Rows" localSheetId="2" hidden="1">#REF!</definedName>
    <definedName name="Z_03CBBAEF_5E1E_11D4_B95C_000629B12FF7_.wvu.Rows" localSheetId="3" hidden="1">#REF!</definedName>
    <definedName name="Z_03CBBAEF_5E1E_11D4_B95C_000629B12FF7_.wvu.Rows" hidden="1">#REF!</definedName>
    <definedName name="Z_03CBBAF0_5E1E_11D4_B95C_000629B12FF7_.wvu.Cols" localSheetId="1" hidden="1">'Schedule F IslIntCos'!#REF!,'Schedule F IslIntCos'!$F:$F,'Schedule F IslIntCos'!$K:$K,'Schedule F IslIntCos'!$AA:$AB,'Schedule F IslIntCos'!$AF:$AF</definedName>
    <definedName name="Z_03CBBAF0_5E1E_11D4_B95C_000629B12FF7_.wvu.Cols" localSheetId="2" hidden="1">'Schedule G IslIntCos'!#REF!,'Schedule G IslIntCos'!$F:$F,'Schedule G IslIntCos'!$K:$K,'Schedule G IslIntCos'!$AA:$AB,'Schedule G IslIntCos'!$AF:$AF</definedName>
    <definedName name="Z_03CBBAF0_5E1E_11D4_B95C_000629B12FF7_.wvu.PrintArea" localSheetId="1" hidden="1">'Schedule F IslIntCos'!$D$496:$T$554</definedName>
    <definedName name="Z_03CBBAF0_5E1E_11D4_B95C_000629B12FF7_.wvu.PrintArea" localSheetId="0" hidden="1">'Schedule F Rev to Cost'!#REF!</definedName>
    <definedName name="Z_03CBBAF0_5E1E_11D4_B95C_000629B12FF7_.wvu.PrintArea" localSheetId="2" hidden="1">'Schedule G IslIntCos'!$D$496:$T$554</definedName>
    <definedName name="Z_03CBBAF0_5E1E_11D4_B95C_000629B12FF7_.wvu.PrintArea" localSheetId="3" hidden="1">'Schedule G Rev to Cost'!#REF!</definedName>
    <definedName name="Z_03CBBAF1_5E1E_11D4_B95C_000629B12FF7_.wvu.Cols" localSheetId="1" hidden="1">'Schedule F IslIntCos'!#REF!,'Schedule F IslIntCos'!$F:$F,'Schedule F IslIntCos'!$K:$K,'Schedule F IslIntCos'!$AA:$AB,'Schedule F IslIntCos'!$AF:$AF</definedName>
    <definedName name="Z_03CBBAF1_5E1E_11D4_B95C_000629B12FF7_.wvu.Cols" localSheetId="2" hidden="1">'Schedule G IslIntCos'!#REF!,'Schedule G IslIntCos'!$F:$F,'Schedule G IslIntCos'!$K:$K,'Schedule G IslIntCos'!$AA:$AB,'Schedule G IslIntCos'!$AF:$AF</definedName>
    <definedName name="Z_03CBBAF1_5E1E_11D4_B95C_000629B12FF7_.wvu.PrintArea" localSheetId="1" hidden="1">'Schedule F IslIntCos'!$D$496:$T$554</definedName>
    <definedName name="Z_03CBBAF1_5E1E_11D4_B95C_000629B12FF7_.wvu.PrintArea" localSheetId="0" hidden="1">'Schedule F Rev to Cost'!#REF!</definedName>
    <definedName name="Z_03CBBAF1_5E1E_11D4_B95C_000629B12FF7_.wvu.PrintArea" localSheetId="2" hidden="1">'Schedule G IslIntCos'!$D$496:$T$554</definedName>
    <definedName name="Z_03CBBAF1_5E1E_11D4_B95C_000629B12FF7_.wvu.PrintArea" localSheetId="3" hidden="1">'Schedule G Rev to Cost'!#REF!</definedName>
    <definedName name="Z_03CBBAF3_5E1E_11D4_B95C_000629B12FF7_.wvu.Cols" localSheetId="1" hidden="1">'Schedule F IslIntCos'!#REF!,'Schedule F IslIntCos'!$F:$F,'Schedule F IslIntCos'!$K:$K,'Schedule F IslIntCos'!$AA:$AB,'Schedule F IslIntCos'!$AF:$AF</definedName>
    <definedName name="Z_03CBBAF3_5E1E_11D4_B95C_000629B12FF7_.wvu.Cols" localSheetId="2" hidden="1">'Schedule G IslIntCos'!#REF!,'Schedule G IslIntCos'!$F:$F,'Schedule G IslIntCos'!$K:$K,'Schedule G IslIntCos'!$AA:$AB,'Schedule G IslIntCos'!$AF:$AF</definedName>
    <definedName name="Z_03CBBAF3_5E1E_11D4_B95C_000629B12FF7_.wvu.PrintArea" localSheetId="1" hidden="1">'Schedule F IslIntCos'!$D$496:$T$554</definedName>
    <definedName name="Z_03CBBAF3_5E1E_11D4_B95C_000629B12FF7_.wvu.PrintArea" localSheetId="0" hidden="1">'Schedule F Rev to Cost'!#REF!</definedName>
    <definedName name="Z_03CBBAF3_5E1E_11D4_B95C_000629B12FF7_.wvu.PrintArea" localSheetId="2" hidden="1">'Schedule G IslIntCos'!$D$496:$T$554</definedName>
    <definedName name="Z_03CBBAF3_5E1E_11D4_B95C_000629B12FF7_.wvu.PrintArea" localSheetId="3" hidden="1">'Schedule G Rev to Cost'!#REF!</definedName>
    <definedName name="Z_03CBBAF3_5E1E_11D4_B95C_000629B12FF7_.wvu.Rows" localSheetId="2" hidden="1">#REF!</definedName>
    <definedName name="Z_03CBBAF3_5E1E_11D4_B95C_000629B12FF7_.wvu.Rows" localSheetId="3" hidden="1">#REF!</definedName>
    <definedName name="Z_03CBBAF3_5E1E_11D4_B95C_000629B12FF7_.wvu.Rows" hidden="1">#REF!</definedName>
    <definedName name="Z_03CBBAF4_5E1E_11D4_B95C_000629B12FF7_.wvu.Cols" localSheetId="1" hidden="1">'Schedule F IslIntCos'!#REF!,'Schedule F IslIntCos'!$F:$F,'Schedule F IslIntCos'!$K:$K,'Schedule F IslIntCos'!$AA:$AB,'Schedule F IslIntCos'!$AF:$AF</definedName>
    <definedName name="Z_03CBBAF4_5E1E_11D4_B95C_000629B12FF7_.wvu.Cols" localSheetId="2" hidden="1">'Schedule G IslIntCos'!#REF!,'Schedule G IslIntCos'!$F:$F,'Schedule G IslIntCos'!$K:$K,'Schedule G IslIntCos'!$AA:$AB,'Schedule G IslIntCos'!$AF:$AF</definedName>
    <definedName name="Z_03CBBAF4_5E1E_11D4_B95C_000629B12FF7_.wvu.PrintArea" localSheetId="1" hidden="1">'Schedule F IslIntCos'!$D$496:$T$554</definedName>
    <definedName name="Z_03CBBAF4_5E1E_11D4_B95C_000629B12FF7_.wvu.PrintArea" localSheetId="0" hidden="1">'Schedule F Rev to Cost'!#REF!</definedName>
    <definedName name="Z_03CBBAF4_5E1E_11D4_B95C_000629B12FF7_.wvu.PrintArea" localSheetId="2" hidden="1">'Schedule G IslIntCos'!$D$496:$T$554</definedName>
    <definedName name="Z_03CBBAF4_5E1E_11D4_B95C_000629B12FF7_.wvu.PrintArea" localSheetId="3" hidden="1">'Schedule G Rev to Cost'!#REF!</definedName>
    <definedName name="Z_03CBBAF5_5E1E_11D4_B95C_000629B12FF7_.wvu.Cols" localSheetId="1" hidden="1">'Schedule F IslIntCos'!#REF!,'Schedule F IslIntCos'!$F:$F,'Schedule F IslIntCos'!$K:$K,'Schedule F IslIntCos'!$AA:$AB,'Schedule F IslIntCos'!$AF:$AF</definedName>
    <definedName name="Z_03CBBAF5_5E1E_11D4_B95C_000629B12FF7_.wvu.Cols" localSheetId="2" hidden="1">'Schedule G IslIntCos'!#REF!,'Schedule G IslIntCos'!$F:$F,'Schedule G IslIntCos'!$K:$K,'Schedule G IslIntCos'!$AA:$AB,'Schedule G IslIntCos'!$AF:$AF</definedName>
    <definedName name="Z_03CBBAF5_5E1E_11D4_B95C_000629B12FF7_.wvu.PrintArea" localSheetId="1" hidden="1">'Schedule F IslIntCos'!$D$496:$T$554</definedName>
    <definedName name="Z_03CBBAF5_5E1E_11D4_B95C_000629B12FF7_.wvu.PrintArea" localSheetId="0" hidden="1">'Schedule F Rev to Cost'!#REF!</definedName>
    <definedName name="Z_03CBBAF5_5E1E_11D4_B95C_000629B12FF7_.wvu.PrintArea" localSheetId="2" hidden="1">'Schedule G IslIntCos'!$D$496:$T$554</definedName>
    <definedName name="Z_03CBBAF5_5E1E_11D4_B95C_000629B12FF7_.wvu.PrintArea" localSheetId="3" hidden="1">'Schedule G Rev to Cost'!#REF!</definedName>
    <definedName name="Z_03CBBAF5_5E1E_11D4_B95C_000629B12FF7_.wvu.Rows" localSheetId="2" hidden="1">#REF!</definedName>
    <definedName name="Z_03CBBAF5_5E1E_11D4_B95C_000629B12FF7_.wvu.Rows" localSheetId="3" hidden="1">#REF!</definedName>
    <definedName name="Z_03CBBAF5_5E1E_11D4_B95C_000629B12FF7_.wvu.Rows" hidden="1">#REF!</definedName>
    <definedName name="Z_03CBBAF7_5E1E_11D4_B95C_000629B12FF7_.wvu.Cols" localSheetId="1" hidden="1">'Schedule F IslIntCos'!#REF!,'Schedule F IslIntCos'!$F:$F,'Schedule F IslIntCos'!$K:$K,'Schedule F IslIntCos'!$AA:$AB,'Schedule F IslIntCos'!$AF:$AF</definedName>
    <definedName name="Z_03CBBAF7_5E1E_11D4_B95C_000629B12FF7_.wvu.Cols" localSheetId="2" hidden="1">'Schedule G IslIntCos'!#REF!,'Schedule G IslIntCos'!$F:$F,'Schedule G IslIntCos'!$K:$K,'Schedule G IslIntCos'!$AA:$AB,'Schedule G IslIntCos'!$AF:$AF</definedName>
    <definedName name="Z_03CBBAF7_5E1E_11D4_B95C_000629B12FF7_.wvu.PrintArea" localSheetId="1" hidden="1">'Schedule F IslIntCos'!$D$496:$T$554</definedName>
    <definedName name="Z_03CBBAF7_5E1E_11D4_B95C_000629B12FF7_.wvu.PrintArea" localSheetId="0" hidden="1">'Schedule F Rev to Cost'!#REF!</definedName>
    <definedName name="Z_03CBBAF7_5E1E_11D4_B95C_000629B12FF7_.wvu.PrintArea" localSheetId="2" hidden="1">'Schedule G IslIntCos'!$D$496:$T$554</definedName>
    <definedName name="Z_03CBBAF7_5E1E_11D4_B95C_000629B12FF7_.wvu.PrintArea" localSheetId="3" hidden="1">'Schedule G Rev to Cost'!#REF!</definedName>
    <definedName name="Z_03CBBAF8_5E1E_11D4_B95C_000629B12FF7_.wvu.Cols" localSheetId="1" hidden="1">'Schedule F IslIntCos'!#REF!,'Schedule F IslIntCos'!$F:$F,'Schedule F IslIntCos'!$K:$K,'Schedule F IslIntCos'!$AA:$AB,'Schedule F IslIntCos'!$AF:$AF</definedName>
    <definedName name="Z_03CBBAF8_5E1E_11D4_B95C_000629B12FF7_.wvu.Cols" localSheetId="2" hidden="1">'Schedule G IslIntCos'!#REF!,'Schedule G IslIntCos'!$F:$F,'Schedule G IslIntCos'!$K:$K,'Schedule G IslIntCos'!$AA:$AB,'Schedule G IslIntCos'!$AF:$AF</definedName>
    <definedName name="Z_03CBBAF8_5E1E_11D4_B95C_000629B12FF7_.wvu.PrintArea" localSheetId="1" hidden="1">'Schedule F IslIntCos'!$D$496:$T$554</definedName>
    <definedName name="Z_03CBBAF8_5E1E_11D4_B95C_000629B12FF7_.wvu.PrintArea" localSheetId="0" hidden="1">'Schedule F Rev to Cost'!#REF!</definedName>
    <definedName name="Z_03CBBAF8_5E1E_11D4_B95C_000629B12FF7_.wvu.PrintArea" localSheetId="2" hidden="1">'Schedule G IslIntCos'!$D$496:$T$554</definedName>
    <definedName name="Z_03CBBAF8_5E1E_11D4_B95C_000629B12FF7_.wvu.PrintArea" localSheetId="3" hidden="1">'Schedule G Rev to Cost'!#REF!</definedName>
    <definedName name="Z_03CBBAF9_5E1E_11D4_B95C_000629B12FF7_.wvu.Cols" localSheetId="1" hidden="1">'Schedule F IslIntCos'!#REF!,'Schedule F IslIntCos'!$F:$F,'Schedule F IslIntCos'!$K:$K,'Schedule F IslIntCos'!$AA:$AB,'Schedule F IslIntCos'!$AF:$AF</definedName>
    <definedName name="Z_03CBBAF9_5E1E_11D4_B95C_000629B12FF7_.wvu.Cols" localSheetId="2" hidden="1">'Schedule G IslIntCos'!#REF!,'Schedule G IslIntCos'!$F:$F,'Schedule G IslIntCos'!$K:$K,'Schedule G IslIntCos'!$AA:$AB,'Schedule G IslIntCos'!$AF:$AF</definedName>
    <definedName name="Z_03CBBAF9_5E1E_11D4_B95C_000629B12FF7_.wvu.PrintArea" localSheetId="1" hidden="1">'Schedule F IslIntCos'!$D$496:$T$554</definedName>
    <definedName name="Z_03CBBAF9_5E1E_11D4_B95C_000629B12FF7_.wvu.PrintArea" localSheetId="0" hidden="1">'Schedule F Rev to Cost'!#REF!</definedName>
    <definedName name="Z_03CBBAF9_5E1E_11D4_B95C_000629B12FF7_.wvu.PrintArea" localSheetId="2" hidden="1">'Schedule G IslIntCos'!$D$496:$T$554</definedName>
    <definedName name="Z_03CBBAF9_5E1E_11D4_B95C_000629B12FF7_.wvu.PrintArea" localSheetId="3" hidden="1">'Schedule G Rev to Cost'!#REF!</definedName>
    <definedName name="Z_03CBBAFC_5E1E_11D4_B95C_000629B12FF7_.wvu.Cols" localSheetId="1" hidden="1">'Schedule F IslIntCos'!#REF!,'Schedule F IslIntCos'!$F:$F,'Schedule F IslIntCos'!$K:$K,'Schedule F IslIntCos'!$AA:$AB,'Schedule F IslIntCos'!$AF:$AF</definedName>
    <definedName name="Z_03CBBAFC_5E1E_11D4_B95C_000629B12FF7_.wvu.Cols" localSheetId="2" hidden="1">'Schedule G IslIntCos'!#REF!,'Schedule G IslIntCos'!$F:$F,'Schedule G IslIntCos'!$K:$K,'Schedule G IslIntCos'!$AA:$AB,'Schedule G IslIntCos'!$AF:$AF</definedName>
    <definedName name="Z_03CBBAFC_5E1E_11D4_B95C_000629B12FF7_.wvu.PrintArea" localSheetId="1" hidden="1">'Schedule F IslIntCos'!$D$496:$T$554</definedName>
    <definedName name="Z_03CBBAFC_5E1E_11D4_B95C_000629B12FF7_.wvu.PrintArea" localSheetId="0" hidden="1">'Schedule F Rev to Cost'!#REF!</definedName>
    <definedName name="Z_03CBBAFC_5E1E_11D4_B95C_000629B12FF7_.wvu.PrintArea" localSheetId="2" hidden="1">'Schedule G IslIntCos'!$D$496:$T$554</definedName>
    <definedName name="Z_03CBBAFC_5E1E_11D4_B95C_000629B12FF7_.wvu.PrintArea" localSheetId="3" hidden="1">'Schedule G Rev to Cost'!#REF!</definedName>
    <definedName name="Z_03CBBAFD_5E1E_11D4_B95C_000629B12FF7_.wvu.Cols" localSheetId="1" hidden="1">'Schedule F IslIntCos'!#REF!,'Schedule F IslIntCos'!$F:$F,'Schedule F IslIntCos'!$K:$K,'Schedule F IslIntCos'!$AA:$AB,'Schedule F IslIntCos'!$AF:$AF</definedName>
    <definedName name="Z_03CBBAFD_5E1E_11D4_B95C_000629B12FF7_.wvu.Cols" localSheetId="2" hidden="1">'Schedule G IslIntCos'!#REF!,'Schedule G IslIntCos'!$F:$F,'Schedule G IslIntCos'!$K:$K,'Schedule G IslIntCos'!$AA:$AB,'Schedule G IslIntCos'!$AF:$AF</definedName>
    <definedName name="Z_03CBBAFD_5E1E_11D4_B95C_000629B12FF7_.wvu.PrintArea" localSheetId="1" hidden="1">'Schedule F IslIntCos'!$D$496:$T$554</definedName>
    <definedName name="Z_03CBBAFD_5E1E_11D4_B95C_000629B12FF7_.wvu.PrintArea" localSheetId="0" hidden="1">'Schedule F Rev to Cost'!#REF!</definedName>
    <definedName name="Z_03CBBAFD_5E1E_11D4_B95C_000629B12FF7_.wvu.PrintArea" localSheetId="2" hidden="1">'Schedule G IslIntCos'!$D$496:$T$554</definedName>
    <definedName name="Z_03CBBAFD_5E1E_11D4_B95C_000629B12FF7_.wvu.PrintArea" localSheetId="3" hidden="1">'Schedule G Rev to Cost'!#REF!</definedName>
    <definedName name="Z_03CBBB00_5E1E_11D4_B95C_000629B12FF7_.wvu.Cols" localSheetId="1" hidden="1">'Schedule F IslIntCos'!#REF!,'Schedule F IslIntCos'!$F:$F,'Schedule F IslIntCos'!$K:$K,'Schedule F IslIntCos'!$AA:$AB,'Schedule F IslIntCos'!$AF:$AF</definedName>
    <definedName name="Z_03CBBB00_5E1E_11D4_B95C_000629B12FF7_.wvu.Cols" localSheetId="2" hidden="1">'Schedule G IslIntCos'!#REF!,'Schedule G IslIntCos'!$F:$F,'Schedule G IslIntCos'!$K:$K,'Schedule G IslIntCos'!$AA:$AB,'Schedule G IslIntCos'!$AF:$AF</definedName>
    <definedName name="Z_03CBBB00_5E1E_11D4_B95C_000629B12FF7_.wvu.PrintArea" localSheetId="1" hidden="1">'Schedule F IslIntCos'!$D$496:$T$554</definedName>
    <definedName name="Z_03CBBB00_5E1E_11D4_B95C_000629B12FF7_.wvu.PrintArea" localSheetId="0" hidden="1">'Schedule F Rev to Cost'!#REF!</definedName>
    <definedName name="Z_03CBBB00_5E1E_11D4_B95C_000629B12FF7_.wvu.PrintArea" localSheetId="2" hidden="1">'Schedule G IslIntCos'!$D$496:$T$554</definedName>
    <definedName name="Z_03CBBB00_5E1E_11D4_B95C_000629B12FF7_.wvu.PrintArea" localSheetId="3" hidden="1">'Schedule G Rev to Cost'!#REF!</definedName>
    <definedName name="Z_3C400EC2_ACB7_11D3_9DF6_400000008383_.wvu.Rows" localSheetId="2" hidden="1">#REF!,#REF!</definedName>
    <definedName name="Z_3C400EC2_ACB7_11D3_9DF6_400000008383_.wvu.Rows" localSheetId="3" hidden="1">#REF!,#REF!</definedName>
    <definedName name="Z_3C400EC2_ACB7_11D3_9DF6_400000008383_.wvu.Rows" hidden="1">#REF!,#REF!</definedName>
    <definedName name="Z_611827CC_4DD6_11D4_B95C_000629B12FF7_.wvu.Cols" localSheetId="1" hidden="1">'Schedule F IslIntCos'!#REF!,'Schedule F IslIntCos'!$F:$F,'Schedule F IslIntCos'!$K:$K,'Schedule F IslIntCos'!$AA:$AB,'Schedule F IslIntCos'!$AF:$AF</definedName>
    <definedName name="Z_611827CC_4DD6_11D4_B95C_000629B12FF7_.wvu.Cols" localSheetId="2" hidden="1">'Schedule G IslIntCos'!#REF!,'Schedule G IslIntCos'!$F:$F,'Schedule G IslIntCos'!$K:$K,'Schedule G IslIntCos'!$AA:$AB,'Schedule G IslIntCos'!$AF:$AF</definedName>
    <definedName name="Z_611827CC_4DD6_11D4_B95C_000629B12FF7_.wvu.PrintArea" localSheetId="1" hidden="1">'Schedule F IslIntCos'!$D$496:$T$554</definedName>
    <definedName name="Z_611827CC_4DD6_11D4_B95C_000629B12FF7_.wvu.PrintArea" localSheetId="0" hidden="1">'Schedule F Rev to Cost'!#REF!</definedName>
    <definedName name="Z_611827CC_4DD6_11D4_B95C_000629B12FF7_.wvu.PrintArea" localSheetId="2" hidden="1">'Schedule G IslIntCos'!$D$496:$T$554</definedName>
    <definedName name="Z_611827CC_4DD6_11D4_B95C_000629B12FF7_.wvu.PrintArea" localSheetId="3" hidden="1">'Schedule G Rev to Cost'!#REF!</definedName>
    <definedName name="Z_71AE21CD_5E32_11D4_B95C_000629B12FF7_.wvu.Cols" localSheetId="1" hidden="1">'Schedule F IslIntCos'!#REF!,'Schedule F IslIntCos'!$F:$F,'Schedule F IslIntCos'!#REF!,'Schedule F IslIntCos'!$K:$K,'Schedule F IslIntCos'!$AA:$AB,'Schedule F IslIntCos'!$AF:$AF</definedName>
    <definedName name="Z_71AE21CD_5E32_11D4_B95C_000629B12FF7_.wvu.Cols" localSheetId="2" hidden="1">'Schedule G IslIntCos'!#REF!,'Schedule G IslIntCos'!$F:$F,'Schedule G IslIntCos'!#REF!,'Schedule G IslIntCos'!$K:$K,'Schedule G IslIntCos'!$AA:$AB,'Schedule G IslIntCos'!$AF:$AF</definedName>
    <definedName name="Z_71AE21CD_5E32_11D4_B95C_000629B12FF7_.wvu.PrintArea" localSheetId="1" hidden="1">'Schedule F IslIntCos'!$Z$3:$AI$38</definedName>
    <definedName name="Z_71AE21CD_5E32_11D4_B95C_000629B12FF7_.wvu.PrintArea" localSheetId="0" hidden="1">'Schedule F Rev to Cost'!#REF!</definedName>
    <definedName name="Z_71AE21CD_5E32_11D4_B95C_000629B12FF7_.wvu.PrintArea" localSheetId="2" hidden="1">'Schedule G IslIntCos'!$Z$3:$AI$38</definedName>
    <definedName name="Z_71AE21CD_5E32_11D4_B95C_000629B12FF7_.wvu.PrintArea" localSheetId="3" hidden="1">'Schedule G Rev to Cost'!#REF!</definedName>
    <definedName name="Z_71AE21CD_5E32_11D4_B95C_000629B12FF7_.wvu.PrintTitles" localSheetId="2" hidden="1">'Schedule G IslIntCos'!$3:$13</definedName>
    <definedName name="Z_71AE21CD_5E32_11D4_B95C_000629B12FF7_.wvu.PrintTitles" hidden="1">'Schedule F IslIntCos'!$3:$13</definedName>
    <definedName name="Z_7DAC24BB_5E38_11D4_B95C_000629B12FF7_.wvu.Cols" localSheetId="1" hidden="1">'Schedule F IslIntCos'!#REF!,'Schedule F IslIntCos'!$F:$F,'Schedule F IslIntCos'!$K:$K,'Schedule F IslIntCos'!$AA:$AB,'Schedule F IslIntCos'!$AF:$AF</definedName>
    <definedName name="Z_7DAC24BB_5E38_11D4_B95C_000629B12FF7_.wvu.Cols" localSheetId="2" hidden="1">'Schedule G IslIntCos'!#REF!,'Schedule G IslIntCos'!$F:$F,'Schedule G IslIntCos'!$K:$K,'Schedule G IslIntCos'!$AA:$AB,'Schedule G IslIntCos'!$AF:$AF</definedName>
    <definedName name="Z_7DAC24BB_5E38_11D4_B95C_000629B12FF7_.wvu.PrintArea" localSheetId="1" hidden="1">'Schedule F IslIntCos'!$D$496:$T$554</definedName>
    <definedName name="Z_7DAC24BB_5E38_11D4_B95C_000629B12FF7_.wvu.PrintArea" localSheetId="0" hidden="1">'Schedule F Rev to Cost'!#REF!</definedName>
    <definedName name="Z_7DAC24BB_5E38_11D4_B95C_000629B12FF7_.wvu.PrintArea" localSheetId="2" hidden="1">'Schedule G IslIntCos'!$D$496:$T$554</definedName>
    <definedName name="Z_7DAC24BB_5E38_11D4_B95C_000629B12FF7_.wvu.PrintArea" localSheetId="3" hidden="1">'Schedule G Rev to Cost'!#REF!</definedName>
    <definedName name="Z_7DAC24BC_5E38_11D4_B95C_000629B12FF7_.wvu.Cols" localSheetId="2" hidden="1">#REF!,#REF!,#REF!,#REF!</definedName>
    <definedName name="Z_7DAC24BC_5E38_11D4_B95C_000629B12FF7_.wvu.Cols" localSheetId="3" hidden="1">#REF!,#REF!,#REF!,#REF!</definedName>
    <definedName name="Z_7DAC24BC_5E38_11D4_B95C_000629B12FF7_.wvu.Cols" hidden="1">#REF!,#REF!,#REF!,#REF!</definedName>
    <definedName name="Z_7DAC24BC_5E38_11D4_B95C_000629B12FF7_.wvu.PrintArea" localSheetId="1" hidden="1">'Schedule F IslIntCos'!$E$521:$F$530</definedName>
    <definedName name="Z_7DAC24BC_5E38_11D4_B95C_000629B12FF7_.wvu.PrintArea" localSheetId="0" hidden="1">'Schedule F Rev to Cost'!#REF!</definedName>
    <definedName name="Z_7DAC24BC_5E38_11D4_B95C_000629B12FF7_.wvu.PrintArea" localSheetId="2" hidden="1">'Schedule G IslIntCos'!$E$521:$F$530</definedName>
    <definedName name="Z_7DAC24BC_5E38_11D4_B95C_000629B12FF7_.wvu.PrintArea" localSheetId="3" hidden="1">'Schedule G Rev to Cost'!#REF!</definedName>
    <definedName name="Z_7DAC24BC_5E38_11D4_B95C_000629B12FF7_.wvu.PrintTitles" localSheetId="2" hidden="1">'Schedule G IslIntCos'!$E:$E</definedName>
    <definedName name="Z_7DAC24BC_5E38_11D4_B95C_000629B12FF7_.wvu.PrintTitles" hidden="1">'Schedule F IslIntCos'!$E:$E</definedName>
    <definedName name="Z_7DAC24BD_5E38_11D4_B95C_000629B12FF7_.wvu.Cols" localSheetId="2" hidden="1">#REF!,#REF!,#REF!,#REF!</definedName>
    <definedName name="Z_7DAC24BD_5E38_11D4_B95C_000629B12FF7_.wvu.Cols" localSheetId="3" hidden="1">#REF!,#REF!,#REF!,#REF!</definedName>
    <definedName name="Z_7DAC24BD_5E38_11D4_B95C_000629B12FF7_.wvu.Cols" hidden="1">#REF!,#REF!,#REF!,#REF!</definedName>
    <definedName name="Z_7DAC24BD_5E38_11D4_B95C_000629B12FF7_.wvu.PrintArea" localSheetId="1" hidden="1">'Schedule F IslIntCos'!$E$521:$F$530</definedName>
    <definedName name="Z_7DAC24BD_5E38_11D4_B95C_000629B12FF7_.wvu.PrintArea" localSheetId="0" hidden="1">'Schedule F Rev to Cost'!$A$173:$I$203</definedName>
    <definedName name="Z_7DAC24BD_5E38_11D4_B95C_000629B12FF7_.wvu.PrintArea" localSheetId="2" hidden="1">'Schedule G IslIntCos'!$E$521:$F$530</definedName>
    <definedName name="Z_7DAC24BD_5E38_11D4_B95C_000629B12FF7_.wvu.PrintArea" localSheetId="3" hidden="1">'Schedule G Rev to Cost'!$A$173:$I$203</definedName>
    <definedName name="Z_7DAC24BD_5E38_11D4_B95C_000629B12FF7_.wvu.PrintTitles" localSheetId="2" hidden="1">'Schedule G IslIntCos'!$E:$E</definedName>
    <definedName name="Z_7DAC24BD_5E38_11D4_B95C_000629B12FF7_.wvu.PrintTitles" hidden="1">'Schedule F IslIntCos'!$E:$E</definedName>
    <definedName name="Z_7DAC24BD_5E38_11D4_B95C_000629B12FF7_.wvu.Rows" localSheetId="3" hidden="1">'Schedule G Rev to Cost'!$188:$189</definedName>
    <definedName name="Z_7DAC24BD_5E38_11D4_B95C_000629B12FF7_.wvu.Rows" hidden="1">'Schedule F Rev to Cost'!$188:$189</definedName>
    <definedName name="Z_7DAC24D3_5E38_11D4_B95C_000629B12FF7_.wvu.Cols" localSheetId="1" hidden="1">'Schedule F IslIntCos'!#REF!,'Schedule F IslIntCos'!$F:$F,'Schedule F IslIntCos'!#REF!,'Schedule F IslIntCos'!$AA:$AB,'Schedule F IslIntCos'!$AF:$AF</definedName>
    <definedName name="Z_7DAC24D3_5E38_11D4_B95C_000629B12FF7_.wvu.Cols" localSheetId="2" hidden="1">'Schedule G IslIntCos'!#REF!,'Schedule G IslIntCos'!$F:$F,'Schedule G IslIntCos'!#REF!,'Schedule G IslIntCos'!$AA:$AB,'Schedule G IslIntCos'!$AF:$AF</definedName>
    <definedName name="Z_7DAC24D3_5E38_11D4_B95C_000629B12FF7_.wvu.PrintArea" localSheetId="1" hidden="1">'Schedule F IslIntCos'!$D$61:$V$96</definedName>
    <definedName name="Z_7DAC24D3_5E38_11D4_B95C_000629B12FF7_.wvu.PrintArea" localSheetId="0" hidden="1">'Schedule F Rev to Cost'!#REF!</definedName>
    <definedName name="Z_7DAC24D3_5E38_11D4_B95C_000629B12FF7_.wvu.PrintArea" localSheetId="2" hidden="1">'Schedule G IslIntCos'!$D$61:$V$96</definedName>
    <definedName name="Z_7DAC24D3_5E38_11D4_B95C_000629B12FF7_.wvu.PrintArea" localSheetId="3" hidden="1">'Schedule G Rev to Cost'!#REF!</definedName>
    <definedName name="Z_7DAC24D3_5E38_11D4_B95C_000629B12FF7_.wvu.PrintTitles" localSheetId="2" hidden="1">'Schedule G IslIntCos'!$61:$71</definedName>
    <definedName name="Z_7DAC24D3_5E38_11D4_B95C_000629B12FF7_.wvu.PrintTitles" hidden="1">'Schedule F IslIntCos'!$61:$71</definedName>
    <definedName name="Z_7DAC24D6_5E38_11D4_B95C_000629B12FF7_.wvu.Cols" localSheetId="1" hidden="1">'Schedule F IslIntCos'!#REF!,'Schedule F IslIntCos'!$F:$F,'Schedule F IslIntCos'!$K:$K,'Schedule F IslIntCos'!$AA:$AB,'Schedule F IslIntCos'!$AF:$AF</definedName>
    <definedName name="Z_7DAC24D6_5E38_11D4_B95C_000629B12FF7_.wvu.Cols" localSheetId="2" hidden="1">'Schedule G IslIntCos'!#REF!,'Schedule G IslIntCos'!$F:$F,'Schedule G IslIntCos'!$K:$K,'Schedule G IslIntCos'!$AA:$AB,'Schedule G IslIntCos'!$AF:$AF</definedName>
    <definedName name="Z_7DAC24D6_5E38_11D4_B95C_000629B12FF7_.wvu.PrintArea" localSheetId="1" hidden="1">'Schedule F IslIntCos'!$D$496:$T$554</definedName>
    <definedName name="Z_7DAC24D6_5E38_11D4_B95C_000629B12FF7_.wvu.PrintArea" localSheetId="0" hidden="1">'Schedule F Rev to Cost'!#REF!</definedName>
    <definedName name="Z_7DAC24D6_5E38_11D4_B95C_000629B12FF7_.wvu.PrintArea" localSheetId="2" hidden="1">'Schedule G IslIntCos'!$D$496:$T$554</definedName>
    <definedName name="Z_7DAC24D6_5E38_11D4_B95C_000629B12FF7_.wvu.PrintArea" localSheetId="3" hidden="1">'Schedule G Rev to Cost'!#REF!</definedName>
    <definedName name="Z_7DAC24D7_5E38_11D4_B95C_000629B12FF7_.wvu.Cols" localSheetId="1" hidden="1">'Schedule F IslIntCos'!#REF!,'Schedule F IslIntCos'!$F:$F,'Schedule F IslIntCos'!$K:$K,'Schedule F IslIntCos'!$AA:$AB,'Schedule F IslIntCos'!$AF:$AF</definedName>
    <definedName name="Z_7DAC24D7_5E38_11D4_B95C_000629B12FF7_.wvu.Cols" localSheetId="2" hidden="1">'Schedule G IslIntCos'!#REF!,'Schedule G IslIntCos'!$F:$F,'Schedule G IslIntCos'!$K:$K,'Schedule G IslIntCos'!$AA:$AB,'Schedule G IslIntCos'!$AF:$AF</definedName>
    <definedName name="Z_7DAC24D7_5E38_11D4_B95C_000629B12FF7_.wvu.PrintArea" localSheetId="1" hidden="1">'Schedule F IslIntCos'!$D$496:$T$554</definedName>
    <definedName name="Z_7DAC24D7_5E38_11D4_B95C_000629B12FF7_.wvu.PrintArea" localSheetId="0" hidden="1">'Schedule F Rev to Cost'!#REF!</definedName>
    <definedName name="Z_7DAC24D7_5E38_11D4_B95C_000629B12FF7_.wvu.PrintArea" localSheetId="2" hidden="1">'Schedule G IslIntCos'!$D$496:$T$554</definedName>
    <definedName name="Z_7DAC24D7_5E38_11D4_B95C_000629B12FF7_.wvu.PrintArea" localSheetId="3" hidden="1">'Schedule G Rev to Cost'!#REF!</definedName>
    <definedName name="Z_7DAC24D8_5E38_11D4_B95C_000629B12FF7_.wvu.Cols" localSheetId="1" hidden="1">'Schedule F IslIntCos'!#REF!,'Schedule F IslIntCos'!$F:$F,'Schedule F IslIntCos'!$K:$K,'Schedule F IslIntCos'!$AA:$AB,'Schedule F IslIntCos'!$AF:$AF</definedName>
    <definedName name="Z_7DAC24D8_5E38_11D4_B95C_000629B12FF7_.wvu.Cols" localSheetId="2" hidden="1">'Schedule G IslIntCos'!#REF!,'Schedule G IslIntCos'!$F:$F,'Schedule G IslIntCos'!$K:$K,'Schedule G IslIntCos'!$AA:$AB,'Schedule G IslIntCos'!$AF:$AF</definedName>
    <definedName name="Z_7DAC24D8_5E38_11D4_B95C_000629B12FF7_.wvu.PrintArea" localSheetId="1" hidden="1">'Schedule F IslIntCos'!$D$496:$T$554</definedName>
    <definedName name="Z_7DAC24D8_5E38_11D4_B95C_000629B12FF7_.wvu.PrintArea" localSheetId="0" hidden="1">'Schedule F Rev to Cost'!#REF!</definedName>
    <definedName name="Z_7DAC24D8_5E38_11D4_B95C_000629B12FF7_.wvu.PrintArea" localSheetId="2" hidden="1">'Schedule G IslIntCos'!$D$496:$T$554</definedName>
    <definedName name="Z_7DAC24D8_5E38_11D4_B95C_000629B12FF7_.wvu.PrintArea" localSheetId="3" hidden="1">'Schedule G Rev to Cost'!#REF!</definedName>
    <definedName name="Z_7DAC24D9_5E38_11D4_B95C_000629B12FF7_.wvu.Cols" localSheetId="1" hidden="1">'Schedule F IslIntCos'!#REF!,'Schedule F IslIntCos'!$F:$F,'Schedule F IslIntCos'!$K:$K,'Schedule F IslIntCos'!$AA:$AB,'Schedule F IslIntCos'!$AF:$AF</definedName>
    <definedName name="Z_7DAC24D9_5E38_11D4_B95C_000629B12FF7_.wvu.Cols" localSheetId="2" hidden="1">'Schedule G IslIntCos'!#REF!,'Schedule G IslIntCos'!$F:$F,'Schedule G IslIntCos'!$K:$K,'Schedule G IslIntCos'!$AA:$AB,'Schedule G IslIntCos'!$AF:$AF</definedName>
    <definedName name="Z_7DAC24D9_5E38_11D4_B95C_000629B12FF7_.wvu.PrintArea" localSheetId="1" hidden="1">'Schedule F IslIntCos'!$D$496:$T$554</definedName>
    <definedName name="Z_7DAC24D9_5E38_11D4_B95C_000629B12FF7_.wvu.PrintArea" localSheetId="0" hidden="1">'Schedule F Rev to Cost'!#REF!</definedName>
    <definedName name="Z_7DAC24D9_5E38_11D4_B95C_000629B12FF7_.wvu.PrintArea" localSheetId="2" hidden="1">'Schedule G IslIntCos'!$D$496:$T$554</definedName>
    <definedName name="Z_7DAC24D9_5E38_11D4_B95C_000629B12FF7_.wvu.PrintArea" localSheetId="3" hidden="1">'Schedule G Rev to Cost'!#REF!</definedName>
    <definedName name="Z_7DAC24DA_5E38_11D4_B95C_000629B12FF7_.wvu.Cols" localSheetId="1" hidden="1">'Schedule F IslIntCos'!#REF!,'Schedule F IslIntCos'!$F:$F,'Schedule F IslIntCos'!$K:$K,'Schedule F IslIntCos'!$AA:$AB,'Schedule F IslIntCos'!$AF:$AF</definedName>
    <definedName name="Z_7DAC24DA_5E38_11D4_B95C_000629B12FF7_.wvu.Cols" localSheetId="2" hidden="1">'Schedule G IslIntCos'!#REF!,'Schedule G IslIntCos'!$F:$F,'Schedule G IslIntCos'!$K:$K,'Schedule G IslIntCos'!$AA:$AB,'Schedule G IslIntCos'!$AF:$AF</definedName>
    <definedName name="Z_7DAC24DA_5E38_11D4_B95C_000629B12FF7_.wvu.PrintArea" localSheetId="1" hidden="1">'Schedule F IslIntCos'!$D$496:$T$554</definedName>
    <definedName name="Z_7DAC24DA_5E38_11D4_B95C_000629B12FF7_.wvu.PrintArea" localSheetId="0" hidden="1">'Schedule F Rev to Cost'!#REF!</definedName>
    <definedName name="Z_7DAC24DA_5E38_11D4_B95C_000629B12FF7_.wvu.PrintArea" localSheetId="2" hidden="1">'Schedule G IslIntCos'!$D$496:$T$554</definedName>
    <definedName name="Z_7DAC24DA_5E38_11D4_B95C_000629B12FF7_.wvu.PrintArea" localSheetId="3" hidden="1">'Schedule G Rev to Cost'!#REF!</definedName>
    <definedName name="Z_7DAC24DB_5E38_11D4_B95C_000629B12FF7_.wvu.Cols" localSheetId="1" hidden="1">'Schedule F IslIntCos'!#REF!,'Schedule F IslIntCos'!$F:$F,'Schedule F IslIntCos'!$K:$K,'Schedule F IslIntCos'!$AA:$AB,'Schedule F IslIntCos'!$AF:$AF</definedName>
    <definedName name="Z_7DAC24DB_5E38_11D4_B95C_000629B12FF7_.wvu.Cols" localSheetId="2" hidden="1">'Schedule G IslIntCos'!#REF!,'Schedule G IslIntCos'!$F:$F,'Schedule G IslIntCos'!$K:$K,'Schedule G IslIntCos'!$AA:$AB,'Schedule G IslIntCos'!$AF:$AF</definedName>
    <definedName name="Z_7DAC24DB_5E38_11D4_B95C_000629B12FF7_.wvu.PrintArea" localSheetId="1" hidden="1">'Schedule F IslIntCos'!$D$496:$T$554</definedName>
    <definedName name="Z_7DAC24DB_5E38_11D4_B95C_000629B12FF7_.wvu.PrintArea" localSheetId="0" hidden="1">'Schedule F Rev to Cost'!#REF!</definedName>
    <definedName name="Z_7DAC24DB_5E38_11D4_B95C_000629B12FF7_.wvu.PrintArea" localSheetId="2" hidden="1">'Schedule G IslIntCos'!$D$496:$T$554</definedName>
    <definedName name="Z_7DAC24DB_5E38_11D4_B95C_000629B12FF7_.wvu.PrintArea" localSheetId="3" hidden="1">'Schedule G Rev to Cost'!#REF!</definedName>
    <definedName name="Z_849B6680_4766_11D4_B95C_000629B12FF7_.wvu.Cols" localSheetId="1" hidden="1">'Schedule F IslIntCos'!#REF!,'Schedule F IslIntCos'!$F:$F,'Schedule F IslIntCos'!$K:$K,'Schedule F IslIntCos'!$AA:$AB,'Schedule F IslIntCos'!$AF:$AF</definedName>
    <definedName name="Z_849B6680_4766_11D4_B95C_000629B12FF7_.wvu.Cols" localSheetId="2" hidden="1">'Schedule G IslIntCos'!#REF!,'Schedule G IslIntCos'!$F:$F,'Schedule G IslIntCos'!$K:$K,'Schedule G IslIntCos'!$AA:$AB,'Schedule G IslIntCos'!$AF:$AF</definedName>
    <definedName name="Z_849B6680_4766_11D4_B95C_000629B12FF7_.wvu.PrintArea" localSheetId="1" hidden="1">'Schedule F IslIntCos'!$D$496:$T$554</definedName>
    <definedName name="Z_849B6680_4766_11D4_B95C_000629B12FF7_.wvu.PrintArea" localSheetId="0" hidden="1">'Schedule F Rev to Cost'!#REF!</definedName>
    <definedName name="Z_849B6680_4766_11D4_B95C_000629B12FF7_.wvu.PrintArea" localSheetId="2" hidden="1">'Schedule G IslIntCos'!$D$496:$T$554</definedName>
    <definedName name="Z_849B6680_4766_11D4_B95C_000629B12FF7_.wvu.PrintArea" localSheetId="3" hidden="1">'Schedule G Rev to Cost'!#REF!</definedName>
    <definedName name="Z_849B6682_4766_11D4_B95C_000629B12FF7_.wvu.Cols" localSheetId="1" hidden="1">'Schedule F IslIntCos'!#REF!,'Schedule F IslIntCos'!$F:$F,'Schedule F IslIntCos'!$K:$K,'Schedule F IslIntCos'!$AA:$AB,'Schedule F IslIntCos'!$AF:$AF</definedName>
    <definedName name="Z_849B6682_4766_11D4_B95C_000629B12FF7_.wvu.Cols" localSheetId="2" hidden="1">'Schedule G IslIntCos'!#REF!,'Schedule G IslIntCos'!$F:$F,'Schedule G IslIntCos'!$K:$K,'Schedule G IslIntCos'!$AA:$AB,'Schedule G IslIntCos'!$AF:$AF</definedName>
    <definedName name="Z_849B6682_4766_11D4_B95C_000629B12FF7_.wvu.PrintArea" localSheetId="1" hidden="1">'Schedule F IslIntCos'!$D$496:$T$554</definedName>
    <definedName name="Z_849B6682_4766_11D4_B95C_000629B12FF7_.wvu.PrintArea" localSheetId="0" hidden="1">'Schedule F Rev to Cost'!#REF!</definedName>
    <definedName name="Z_849B6682_4766_11D4_B95C_000629B12FF7_.wvu.PrintArea" localSheetId="2" hidden="1">'Schedule G IslIntCos'!$D$496:$T$554</definedName>
    <definedName name="Z_849B6682_4766_11D4_B95C_000629B12FF7_.wvu.PrintArea" localSheetId="3" hidden="1">'Schedule G Rev to Cost'!#REF!</definedName>
    <definedName name="Z_9825D850_4DC5_11D4_B95C_000629B12FF7_.wvu.Cols" localSheetId="1" hidden="1">'Schedule F IslIntCos'!#REF!,'Schedule F IslIntCos'!$F:$F,'Schedule F IslIntCos'!$K:$K,'Schedule F IslIntCos'!$AA:$AB,'Schedule F IslIntCos'!$AF:$AF</definedName>
    <definedName name="Z_9825D850_4DC5_11D4_B95C_000629B12FF7_.wvu.Cols" localSheetId="2" hidden="1">'Schedule G IslIntCos'!#REF!,'Schedule G IslIntCos'!$F:$F,'Schedule G IslIntCos'!$K:$K,'Schedule G IslIntCos'!$AA:$AB,'Schedule G IslIntCos'!$AF:$AF</definedName>
    <definedName name="Z_9825D850_4DC5_11D4_B95C_000629B12FF7_.wvu.PrintArea" localSheetId="1" hidden="1">'Schedule F IslIntCos'!$D$496:$T$554</definedName>
    <definedName name="Z_9825D850_4DC5_11D4_B95C_000629B12FF7_.wvu.PrintArea" localSheetId="0" hidden="1">'Schedule F Rev to Cost'!#REF!</definedName>
    <definedName name="Z_9825D850_4DC5_11D4_B95C_000629B12FF7_.wvu.PrintArea" localSheetId="2" hidden="1">'Schedule G IslIntCos'!$D$496:$T$554</definedName>
    <definedName name="Z_9825D850_4DC5_11D4_B95C_000629B12FF7_.wvu.PrintArea" localSheetId="3" hidden="1">'Schedule G Rev to Cost'!#REF!</definedName>
    <definedName name="Z_9825D868_4DC5_11D4_B95C_000629B12FF7_.wvu.Cols" localSheetId="1" hidden="1">'Schedule F IslIntCos'!#REF!,'Schedule F IslIntCos'!$F:$F,'Schedule F IslIntCos'!$K:$K,'Schedule F IslIntCos'!$AA:$AB,'Schedule F IslIntCos'!$AF:$AF</definedName>
    <definedName name="Z_9825D868_4DC5_11D4_B95C_000629B12FF7_.wvu.Cols" localSheetId="2" hidden="1">'Schedule G IslIntCos'!#REF!,'Schedule G IslIntCos'!$F:$F,'Schedule G IslIntCos'!$K:$K,'Schedule G IslIntCos'!$AA:$AB,'Schedule G IslIntCos'!$AF:$AF</definedName>
    <definedName name="Z_9825D868_4DC5_11D4_B95C_000629B12FF7_.wvu.PrintArea" localSheetId="1" hidden="1">'Schedule F IslIntCos'!$D$496:$T$554</definedName>
    <definedName name="Z_9825D868_4DC5_11D4_B95C_000629B12FF7_.wvu.PrintArea" localSheetId="0" hidden="1">'Schedule F Rev to Cost'!#REF!</definedName>
    <definedName name="Z_9825D868_4DC5_11D4_B95C_000629B12FF7_.wvu.PrintArea" localSheetId="2" hidden="1">'Schedule G IslIntCos'!$D$496:$T$554</definedName>
    <definedName name="Z_9825D868_4DC5_11D4_B95C_000629B12FF7_.wvu.PrintArea" localSheetId="3" hidden="1">'Schedule G Rev to Cost'!#REF!</definedName>
    <definedName name="Z_9F7039ED_5F0E_11D4_B95C_000629B12FF7_.wvu.Cols" localSheetId="1" hidden="1">'Schedule F IslIntCos'!#REF!,'Schedule F IslIntCos'!$F:$F,'Schedule F IslIntCos'!$K:$K,'Schedule F IslIntCos'!$AA:$AB,'Schedule F IslIntCos'!$AF:$AF</definedName>
    <definedName name="Z_9F7039ED_5F0E_11D4_B95C_000629B12FF7_.wvu.Cols" localSheetId="2" hidden="1">'Schedule G IslIntCos'!#REF!,'Schedule G IslIntCos'!$F:$F,'Schedule G IslIntCos'!$K:$K,'Schedule G IslIntCos'!$AA:$AB,'Schedule G IslIntCos'!$AF:$AF</definedName>
    <definedName name="Z_9F7039ED_5F0E_11D4_B95C_000629B12FF7_.wvu.PrintArea" localSheetId="1" hidden="1">'Schedule F IslIntCos'!$D$496:$T$554</definedName>
    <definedName name="Z_9F7039ED_5F0E_11D4_B95C_000629B12FF7_.wvu.PrintArea" localSheetId="0" hidden="1">'Schedule F Rev to Cost'!#REF!</definedName>
    <definedName name="Z_9F7039ED_5F0E_11D4_B95C_000629B12FF7_.wvu.PrintArea" localSheetId="2" hidden="1">'Schedule G IslIntCos'!$D$496:$T$554</definedName>
    <definedName name="Z_9F7039ED_5F0E_11D4_B95C_000629B12FF7_.wvu.PrintArea" localSheetId="3" hidden="1">'Schedule G Rev to Cost'!#REF!</definedName>
    <definedName name="Z_9F7039EE_5F0E_11D4_B95C_000629B12FF7_.wvu.Cols" localSheetId="1" hidden="1">'Schedule F IslIntCos'!#REF!,'Schedule F IslIntCos'!$F:$F,'Schedule F IslIntCos'!$K:$K,'Schedule F IslIntCos'!$AA:$AB,'Schedule F IslIntCos'!$AF:$AF</definedName>
    <definedName name="Z_9F7039EE_5F0E_11D4_B95C_000629B12FF7_.wvu.Cols" localSheetId="2" hidden="1">'Schedule G IslIntCos'!#REF!,'Schedule G IslIntCos'!$F:$F,'Schedule G IslIntCos'!$K:$K,'Schedule G IslIntCos'!$AA:$AB,'Schedule G IslIntCos'!$AF:$AF</definedName>
    <definedName name="Z_9F7039EE_5F0E_11D4_B95C_000629B12FF7_.wvu.PrintArea" localSheetId="1" hidden="1">'Schedule F IslIntCos'!$D$496:$T$554</definedName>
    <definedName name="Z_9F7039EE_5F0E_11D4_B95C_000629B12FF7_.wvu.PrintArea" localSheetId="0" hidden="1">'Schedule F Rev to Cost'!#REF!</definedName>
    <definedName name="Z_9F7039EE_5F0E_11D4_B95C_000629B12FF7_.wvu.PrintArea" localSheetId="2" hidden="1">'Schedule G IslIntCos'!$D$496:$T$554</definedName>
    <definedName name="Z_9F7039EE_5F0E_11D4_B95C_000629B12FF7_.wvu.PrintArea" localSheetId="3" hidden="1">'Schedule G Rev to Cost'!#REF!</definedName>
    <definedName name="Z_9F7039EF_5F0E_11D4_B95C_000629B12FF7_.wvu.Cols" localSheetId="1" hidden="1">'Schedule F IslIntCos'!#REF!,'Schedule F IslIntCos'!$F:$F,'Schedule F IslIntCos'!$K:$K,'Schedule F IslIntCos'!$AA:$AB,'Schedule F IslIntCos'!$AF:$AF</definedName>
    <definedName name="Z_9F7039EF_5F0E_11D4_B95C_000629B12FF7_.wvu.Cols" localSheetId="2" hidden="1">'Schedule G IslIntCos'!#REF!,'Schedule G IslIntCos'!$F:$F,'Schedule G IslIntCos'!$K:$K,'Schedule G IslIntCos'!$AA:$AB,'Schedule G IslIntCos'!$AF:$AF</definedName>
    <definedName name="Z_9F7039EF_5F0E_11D4_B95C_000629B12FF7_.wvu.PrintArea" localSheetId="1" hidden="1">'Schedule F IslIntCos'!$D$496:$T$554</definedName>
    <definedName name="Z_9F7039EF_5F0E_11D4_B95C_000629B12FF7_.wvu.PrintArea" localSheetId="0" hidden="1">'Schedule F Rev to Cost'!#REF!</definedName>
    <definedName name="Z_9F7039EF_5F0E_11D4_B95C_000629B12FF7_.wvu.PrintArea" localSheetId="2" hidden="1">'Schedule G IslIntCos'!$D$496:$T$554</definedName>
    <definedName name="Z_9F7039EF_5F0E_11D4_B95C_000629B12FF7_.wvu.PrintArea" localSheetId="3" hidden="1">'Schedule G Rev to Cost'!#REF!</definedName>
    <definedName name="Z_9F7039F0_5F0E_11D4_B95C_000629B12FF7_.wvu.Cols" localSheetId="1" hidden="1">'Schedule F IslIntCos'!#REF!,'Schedule F IslIntCos'!$F:$F,'Schedule F IslIntCos'!$K:$K,'Schedule F IslIntCos'!$AA:$AB,'Schedule F IslIntCos'!$AF:$AF</definedName>
    <definedName name="Z_9F7039F0_5F0E_11D4_B95C_000629B12FF7_.wvu.Cols" localSheetId="2" hidden="1">'Schedule G IslIntCos'!#REF!,'Schedule G IslIntCos'!$F:$F,'Schedule G IslIntCos'!$K:$K,'Schedule G IslIntCos'!$AA:$AB,'Schedule G IslIntCos'!$AF:$AF</definedName>
    <definedName name="Z_9F7039F0_5F0E_11D4_B95C_000629B12FF7_.wvu.PrintArea" localSheetId="1" hidden="1">'Schedule F IslIntCos'!$D$496:$T$554</definedName>
    <definedName name="Z_9F7039F0_5F0E_11D4_B95C_000629B12FF7_.wvu.PrintArea" localSheetId="0" hidden="1">'Schedule F Rev to Cost'!#REF!</definedName>
    <definedName name="Z_9F7039F0_5F0E_11D4_B95C_000629B12FF7_.wvu.PrintArea" localSheetId="2" hidden="1">'Schedule G IslIntCos'!$D$496:$T$554</definedName>
    <definedName name="Z_9F7039F0_5F0E_11D4_B95C_000629B12FF7_.wvu.PrintArea" localSheetId="3" hidden="1">'Schedule G Rev to Cost'!#REF!</definedName>
    <definedName name="Z_9F7039F0_5F0E_11D4_B95C_000629B12FF7_.wvu.Rows" localSheetId="2" hidden="1">#REF!,#REF!,#REF!,#REF!,#REF!</definedName>
    <definedName name="Z_9F7039F0_5F0E_11D4_B95C_000629B12FF7_.wvu.Rows" localSheetId="3" hidden="1">#REF!,#REF!,#REF!,#REF!,#REF!</definedName>
    <definedName name="Z_9F7039F0_5F0E_11D4_B95C_000629B12FF7_.wvu.Rows" hidden="1">#REF!,#REF!,#REF!,#REF!,#REF!</definedName>
    <definedName name="Z_9F7039F1_5F0E_11D4_B95C_000629B12FF7_.wvu.Cols" localSheetId="1" hidden="1">'Schedule F IslIntCos'!#REF!,'Schedule F IslIntCos'!$F:$F,'Schedule F IslIntCos'!$K:$K,'Schedule F IslIntCos'!$AA:$AB,'Schedule F IslIntCos'!$AF:$AF</definedName>
    <definedName name="Z_9F7039F1_5F0E_11D4_B95C_000629B12FF7_.wvu.Cols" localSheetId="2" hidden="1">'Schedule G IslIntCos'!#REF!,'Schedule G IslIntCos'!$F:$F,'Schedule G IslIntCos'!$K:$K,'Schedule G IslIntCos'!$AA:$AB,'Schedule G IslIntCos'!$AF:$AF</definedName>
    <definedName name="Z_9F7039F1_5F0E_11D4_B95C_000629B12FF7_.wvu.PrintArea" localSheetId="1" hidden="1">'Schedule F IslIntCos'!$D$496:$T$554</definedName>
    <definedName name="Z_9F7039F1_5F0E_11D4_B95C_000629B12FF7_.wvu.PrintArea" localSheetId="0" hidden="1">'Schedule F Rev to Cost'!#REF!</definedName>
    <definedName name="Z_9F7039F1_5F0E_11D4_B95C_000629B12FF7_.wvu.PrintArea" localSheetId="2" hidden="1">'Schedule G IslIntCos'!$D$496:$T$554</definedName>
    <definedName name="Z_9F7039F1_5F0E_11D4_B95C_000629B12FF7_.wvu.PrintArea" localSheetId="3" hidden="1">'Schedule G Rev to Cost'!#REF!</definedName>
    <definedName name="Z_9F7039F1_5F0E_11D4_B95C_000629B12FF7_.wvu.Rows" localSheetId="2" hidden="1">#REF!</definedName>
    <definedName name="Z_9F7039F1_5F0E_11D4_B95C_000629B12FF7_.wvu.Rows" localSheetId="3" hidden="1">#REF!</definedName>
    <definedName name="Z_9F7039F1_5F0E_11D4_B95C_000629B12FF7_.wvu.Rows" hidden="1">#REF!</definedName>
    <definedName name="Z_9F7039F2_5F0E_11D4_B95C_000629B12FF7_.wvu.Cols" localSheetId="1" hidden="1">'Schedule F IslIntCos'!#REF!,'Schedule F IslIntCos'!$F:$F,'Schedule F IslIntCos'!$K:$K,'Schedule F IslIntCos'!$AA:$AB,'Schedule F IslIntCos'!$AF:$AF</definedName>
    <definedName name="Z_9F7039F2_5F0E_11D4_B95C_000629B12FF7_.wvu.Cols" localSheetId="2" hidden="1">'Schedule G IslIntCos'!#REF!,'Schedule G IslIntCos'!$F:$F,'Schedule G IslIntCos'!$K:$K,'Schedule G IslIntCos'!$AA:$AB,'Schedule G IslIntCos'!$AF:$AF</definedName>
    <definedName name="Z_9F7039F2_5F0E_11D4_B95C_000629B12FF7_.wvu.PrintArea" localSheetId="1" hidden="1">'Schedule F IslIntCos'!$D$496:$T$554</definedName>
    <definedName name="Z_9F7039F2_5F0E_11D4_B95C_000629B12FF7_.wvu.PrintArea" localSheetId="0" hidden="1">'Schedule F Rev to Cost'!#REF!</definedName>
    <definedName name="Z_9F7039F2_5F0E_11D4_B95C_000629B12FF7_.wvu.PrintArea" localSheetId="2" hidden="1">'Schedule G IslIntCos'!$D$496:$T$554</definedName>
    <definedName name="Z_9F7039F2_5F0E_11D4_B95C_000629B12FF7_.wvu.PrintArea" localSheetId="3" hidden="1">'Schedule G Rev to Cost'!#REF!</definedName>
    <definedName name="Z_9F7039F3_5F0E_11D4_B95C_000629B12FF7_.wvu.Cols" localSheetId="1" hidden="1">'Schedule F IslIntCos'!#REF!,'Schedule F IslIntCos'!$F:$F,'Schedule F IslIntCos'!$K:$K,'Schedule F IslIntCos'!$AA:$AB,'Schedule F IslIntCos'!$AF:$AF</definedName>
    <definedName name="Z_9F7039F3_5F0E_11D4_B95C_000629B12FF7_.wvu.Cols" localSheetId="2" hidden="1">'Schedule G IslIntCos'!#REF!,'Schedule G IslIntCos'!$F:$F,'Schedule G IslIntCos'!$K:$K,'Schedule G IslIntCos'!$AA:$AB,'Schedule G IslIntCos'!$AF:$AF</definedName>
    <definedName name="Z_9F7039F3_5F0E_11D4_B95C_000629B12FF7_.wvu.PrintArea" localSheetId="1" hidden="1">'Schedule F IslIntCos'!$D$496:$T$554</definedName>
    <definedName name="Z_9F7039F3_5F0E_11D4_B95C_000629B12FF7_.wvu.PrintArea" localSheetId="0" hidden="1">'Schedule F Rev to Cost'!#REF!</definedName>
    <definedName name="Z_9F7039F3_5F0E_11D4_B95C_000629B12FF7_.wvu.PrintArea" localSheetId="2" hidden="1">'Schedule G IslIntCos'!$D$496:$T$554</definedName>
    <definedName name="Z_9F7039F3_5F0E_11D4_B95C_000629B12FF7_.wvu.PrintArea" localSheetId="3" hidden="1">'Schedule G Rev to Cost'!#REF!</definedName>
    <definedName name="Z_B06747EE_5EE4_11D4_B95C_000629B12FF7_.wvu.Cols" localSheetId="1" hidden="1">'Schedule F IslIntCos'!#REF!,'Schedule F IslIntCos'!$F:$F,'Schedule F IslIntCos'!$K:$K,'Schedule F IslIntCos'!$AA:$AB,'Schedule F IslIntCos'!$AF:$AF</definedName>
    <definedName name="Z_B06747EE_5EE4_11D4_B95C_000629B12FF7_.wvu.Cols" localSheetId="2" hidden="1">'Schedule G IslIntCos'!#REF!,'Schedule G IslIntCos'!$F:$F,'Schedule G IslIntCos'!$K:$K,'Schedule G IslIntCos'!$AA:$AB,'Schedule G IslIntCos'!$AF:$AF</definedName>
    <definedName name="Z_B06747EE_5EE4_11D4_B95C_000629B12FF7_.wvu.PrintArea" localSheetId="1" hidden="1">'Schedule F IslIntCos'!$D$496:$T$554</definedName>
    <definedName name="Z_B06747EE_5EE4_11D4_B95C_000629B12FF7_.wvu.PrintArea" localSheetId="0" hidden="1">'Schedule F Rev to Cost'!#REF!</definedName>
    <definedName name="Z_B06747EE_5EE4_11D4_B95C_000629B12FF7_.wvu.PrintArea" localSheetId="2" hidden="1">'Schedule G IslIntCos'!$D$496:$T$554</definedName>
    <definedName name="Z_B06747EE_5EE4_11D4_B95C_000629B12FF7_.wvu.PrintArea" localSheetId="3" hidden="1">'Schedule G Rev to Cost'!#REF!</definedName>
    <definedName name="Z_B06747EE_5EE4_11D4_B95C_000629B12FF7_.wvu.Rows" localSheetId="2" hidden="1">#REF!</definedName>
    <definedName name="Z_B06747EE_5EE4_11D4_B95C_000629B12FF7_.wvu.Rows" localSheetId="3" hidden="1">#REF!</definedName>
    <definedName name="Z_B06747EE_5EE4_11D4_B95C_000629B12FF7_.wvu.Rows" hidden="1">#REF!</definedName>
    <definedName name="Z_B067482F_5EE4_11D4_B95C_000629B12FF7_.wvu.Cols" localSheetId="1" hidden="1">'Schedule F IslIntCos'!#REF!,'Schedule F IslIntCos'!$F:$F,'Schedule F IslIntCos'!$K:$K,'Schedule F IslIntCos'!$AA:$AB,'Schedule F IslIntCos'!$AF:$AF</definedName>
    <definedName name="Z_B067482F_5EE4_11D4_B95C_000629B12FF7_.wvu.Cols" localSheetId="2" hidden="1">'Schedule G IslIntCos'!#REF!,'Schedule G IslIntCos'!$F:$F,'Schedule G IslIntCos'!$K:$K,'Schedule G IslIntCos'!$AA:$AB,'Schedule G IslIntCos'!$AF:$AF</definedName>
    <definedName name="Z_B067482F_5EE4_11D4_B95C_000629B12FF7_.wvu.PrintArea" localSheetId="1" hidden="1">'Schedule F IslIntCos'!$D$496:$T$554</definedName>
    <definedName name="Z_B067482F_5EE4_11D4_B95C_000629B12FF7_.wvu.PrintArea" localSheetId="0" hidden="1">'Schedule F Rev to Cost'!#REF!</definedName>
    <definedName name="Z_B067482F_5EE4_11D4_B95C_000629B12FF7_.wvu.PrintArea" localSheetId="2" hidden="1">'Schedule G IslIntCos'!$D$496:$T$554</definedName>
    <definedName name="Z_B067482F_5EE4_11D4_B95C_000629B12FF7_.wvu.PrintArea" localSheetId="3" hidden="1">'Schedule G Rev to Cost'!#REF!</definedName>
    <definedName name="Z_B0674851_5EE4_11D4_B95C_000629B12FF7_.wvu.Cols" localSheetId="1" hidden="1">'Schedule F IslIntCos'!#REF!,'Schedule F IslIntCos'!$F:$F,'Schedule F IslIntCos'!$K:$K,'Schedule F IslIntCos'!$AA:$AB,'Schedule F IslIntCos'!$AF:$AF</definedName>
    <definedName name="Z_B0674851_5EE4_11D4_B95C_000629B12FF7_.wvu.Cols" localSheetId="2" hidden="1">'Schedule G IslIntCos'!#REF!,'Schedule G IslIntCos'!$F:$F,'Schedule G IslIntCos'!$K:$K,'Schedule G IslIntCos'!$AA:$AB,'Schedule G IslIntCos'!$AF:$AF</definedName>
    <definedName name="Z_B0674851_5EE4_11D4_B95C_000629B12FF7_.wvu.PrintArea" localSheetId="1" hidden="1">'Schedule F IslIntCos'!$D$496:$T$554</definedName>
    <definedName name="Z_B0674851_5EE4_11D4_B95C_000629B12FF7_.wvu.PrintArea" localSheetId="0" hidden="1">'Schedule F Rev to Cost'!#REF!</definedName>
    <definedName name="Z_B0674851_5EE4_11D4_B95C_000629B12FF7_.wvu.PrintArea" localSheetId="2" hidden="1">'Schedule G IslIntCos'!$D$496:$T$554</definedName>
    <definedName name="Z_B0674851_5EE4_11D4_B95C_000629B12FF7_.wvu.PrintArea" localSheetId="3" hidden="1">'Schedule G Rev to Cost'!#REF!</definedName>
    <definedName name="Z_B0674852_5EE4_11D4_B95C_000629B12FF7_.wvu.Cols" localSheetId="1" hidden="1">'Schedule F IslIntCos'!#REF!,'Schedule F IslIntCos'!$F:$F,'Schedule F IslIntCos'!$K:$K,'Schedule F IslIntCos'!$AA:$AB,'Schedule F IslIntCos'!$AF:$AF</definedName>
    <definedName name="Z_B0674852_5EE4_11D4_B95C_000629B12FF7_.wvu.Cols" localSheetId="2" hidden="1">'Schedule G IslIntCos'!#REF!,'Schedule G IslIntCos'!$F:$F,'Schedule G IslIntCos'!$K:$K,'Schedule G IslIntCos'!$AA:$AB,'Schedule G IslIntCos'!$AF:$AF</definedName>
    <definedName name="Z_B0674852_5EE4_11D4_B95C_000629B12FF7_.wvu.PrintArea" localSheetId="1" hidden="1">'Schedule F IslIntCos'!$D$496:$T$554</definedName>
    <definedName name="Z_B0674852_5EE4_11D4_B95C_000629B12FF7_.wvu.PrintArea" localSheetId="0" hidden="1">'Schedule F Rev to Cost'!#REF!</definedName>
    <definedName name="Z_B0674852_5EE4_11D4_B95C_000629B12FF7_.wvu.PrintArea" localSheetId="2" hidden="1">'Schedule G IslIntCos'!$D$496:$T$554</definedName>
    <definedName name="Z_B0674852_5EE4_11D4_B95C_000629B12FF7_.wvu.PrintArea" localSheetId="3" hidden="1">'Schedule G Rev to Cost'!#REF!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8" l="1"/>
  <c r="I24" i="8"/>
  <c r="I30" i="8"/>
  <c r="I31" i="8"/>
  <c r="I37" i="8"/>
  <c r="I39" i="8"/>
  <c r="I21" i="8"/>
  <c r="H24" i="8"/>
  <c r="H30" i="8"/>
  <c r="H31" i="8"/>
  <c r="H37" i="8"/>
  <c r="H39" i="8"/>
  <c r="F24" i="8"/>
  <c r="F25" i="8"/>
  <c r="F27" i="8"/>
  <c r="F28" i="8"/>
  <c r="F30" i="8"/>
  <c r="F31" i="8"/>
  <c r="F37" i="8"/>
  <c r="F39" i="8"/>
  <c r="E24" i="8"/>
  <c r="E30" i="8"/>
  <c r="E31" i="8"/>
  <c r="E37" i="8"/>
  <c r="E39" i="8"/>
  <c r="D24" i="8"/>
  <c r="D30" i="8"/>
  <c r="D31" i="8"/>
  <c r="D36" i="8"/>
  <c r="D37" i="8"/>
  <c r="D39" i="8"/>
  <c r="C24" i="8"/>
  <c r="C30" i="8"/>
  <c r="C31" i="8"/>
  <c r="C36" i="8"/>
  <c r="C37" i="8"/>
  <c r="C39" i="8"/>
  <c r="S83" i="7"/>
  <c r="S87" i="7"/>
  <c r="S92" i="7"/>
  <c r="S98" i="7"/>
  <c r="S102" i="7"/>
  <c r="S113" i="7"/>
  <c r="S114" i="7"/>
  <c r="S115" i="7"/>
  <c r="S116" i="7"/>
  <c r="S117" i="7"/>
  <c r="S118" i="7"/>
  <c r="S119" i="7"/>
  <c r="R83" i="7"/>
  <c r="R87" i="7"/>
  <c r="R92" i="7"/>
  <c r="R98" i="7"/>
  <c r="R102" i="7"/>
  <c r="R113" i="7"/>
  <c r="R114" i="7"/>
  <c r="R115" i="7"/>
  <c r="R116" i="7"/>
  <c r="R117" i="7"/>
  <c r="R118" i="7"/>
  <c r="R119" i="7"/>
  <c r="Q83" i="7"/>
  <c r="Q87" i="7"/>
  <c r="Q92" i="7"/>
  <c r="Q98" i="7"/>
  <c r="Q102" i="7"/>
  <c r="Q113" i="7"/>
  <c r="Q114" i="7"/>
  <c r="Q115" i="7"/>
  <c r="Q116" i="7"/>
  <c r="Q117" i="7"/>
  <c r="Q118" i="7"/>
  <c r="Q119" i="7"/>
  <c r="P83" i="7"/>
  <c r="P87" i="7"/>
  <c r="P92" i="7"/>
  <c r="P98" i="7"/>
  <c r="P102" i="7"/>
  <c r="P113" i="7"/>
  <c r="P114" i="7"/>
  <c r="P115" i="7"/>
  <c r="P116" i="7"/>
  <c r="P117" i="7"/>
  <c r="P118" i="7"/>
  <c r="P119" i="7"/>
  <c r="O83" i="7"/>
  <c r="O87" i="7"/>
  <c r="O92" i="7"/>
  <c r="O98" i="7"/>
  <c r="O102" i="7"/>
  <c r="O113" i="7"/>
  <c r="O114" i="7"/>
  <c r="O115" i="7"/>
  <c r="O116" i="7"/>
  <c r="O117" i="7"/>
  <c r="O118" i="7"/>
  <c r="O119" i="7"/>
  <c r="N83" i="7"/>
  <c r="N87" i="7"/>
  <c r="N92" i="7"/>
  <c r="N98" i="7"/>
  <c r="N102" i="7"/>
  <c r="N113" i="7"/>
  <c r="N114" i="7"/>
  <c r="N115" i="7"/>
  <c r="N116" i="7"/>
  <c r="N117" i="7"/>
  <c r="N118" i="7"/>
  <c r="N119" i="7"/>
  <c r="M83" i="7"/>
  <c r="M87" i="7"/>
  <c r="M92" i="7"/>
  <c r="M98" i="7"/>
  <c r="M102" i="7"/>
  <c r="M113" i="7"/>
  <c r="M114" i="7"/>
  <c r="M115" i="7"/>
  <c r="M116" i="7"/>
  <c r="M117" i="7"/>
  <c r="M118" i="7"/>
  <c r="M119" i="7"/>
  <c r="L83" i="7"/>
  <c r="L87" i="7"/>
  <c r="L92" i="7"/>
  <c r="L98" i="7"/>
  <c r="L102" i="7"/>
  <c r="L113" i="7"/>
  <c r="L114" i="7"/>
  <c r="L115" i="7"/>
  <c r="L116" i="7"/>
  <c r="L117" i="7"/>
  <c r="L118" i="7"/>
  <c r="L119" i="7"/>
  <c r="K83" i="7"/>
  <c r="K87" i="7"/>
  <c r="K92" i="7"/>
  <c r="K98" i="7"/>
  <c r="K102" i="7"/>
  <c r="K113" i="7"/>
  <c r="K114" i="7"/>
  <c r="K115" i="7"/>
  <c r="K116" i="7"/>
  <c r="K117" i="7"/>
  <c r="K118" i="7"/>
  <c r="K119" i="7"/>
  <c r="J83" i="7"/>
  <c r="J87" i="7"/>
  <c r="J92" i="7"/>
  <c r="J98" i="7"/>
  <c r="J102" i="7"/>
  <c r="J113" i="7"/>
  <c r="J114" i="7"/>
  <c r="J115" i="7"/>
  <c r="J116" i="7"/>
  <c r="J117" i="7"/>
  <c r="J118" i="7"/>
  <c r="J119" i="7"/>
  <c r="I83" i="7"/>
  <c r="I87" i="7"/>
  <c r="I92" i="7"/>
  <c r="I98" i="7"/>
  <c r="I102" i="7"/>
  <c r="I113" i="7"/>
  <c r="I114" i="7"/>
  <c r="I119" i="7"/>
  <c r="H83" i="7"/>
  <c r="H87" i="7"/>
  <c r="H92" i="7"/>
  <c r="H98" i="7"/>
  <c r="H102" i="7"/>
  <c r="H113" i="7"/>
  <c r="H114" i="7"/>
  <c r="H119" i="7"/>
  <c r="G83" i="7"/>
  <c r="G87" i="7"/>
  <c r="G92" i="7"/>
  <c r="G98" i="7"/>
  <c r="G102" i="7"/>
  <c r="G113" i="7"/>
  <c r="G114" i="7"/>
  <c r="G119" i="7"/>
  <c r="F83" i="7"/>
  <c r="F87" i="7"/>
  <c r="F92" i="7"/>
  <c r="F98" i="7"/>
  <c r="F102" i="7"/>
  <c r="F113" i="7"/>
  <c r="F114" i="7"/>
  <c r="F115" i="7"/>
  <c r="F116" i="7"/>
  <c r="F117" i="7"/>
  <c r="F118" i="7"/>
  <c r="E83" i="7"/>
  <c r="E87" i="7"/>
  <c r="E92" i="7"/>
  <c r="E98" i="7"/>
  <c r="E102" i="7"/>
  <c r="E113" i="7"/>
  <c r="E114" i="7"/>
  <c r="E115" i="7"/>
  <c r="E116" i="7"/>
  <c r="E117" i="7"/>
  <c r="E118" i="7"/>
  <c r="D83" i="7"/>
  <c r="D87" i="7"/>
  <c r="D92" i="7"/>
  <c r="D98" i="7"/>
  <c r="D102" i="7"/>
  <c r="D113" i="7"/>
  <c r="D114" i="7"/>
  <c r="D115" i="7"/>
  <c r="D116" i="7"/>
  <c r="D117" i="7"/>
  <c r="D118" i="7"/>
  <c r="C83" i="7"/>
  <c r="C87" i="7"/>
  <c r="C92" i="7"/>
  <c r="C98" i="7"/>
  <c r="C102" i="7"/>
  <c r="S27" i="7"/>
  <c r="R27" i="7"/>
  <c r="Q27" i="7"/>
  <c r="P27" i="7"/>
  <c r="O27" i="7"/>
  <c r="N27" i="7"/>
  <c r="M27" i="7"/>
  <c r="L27" i="7"/>
  <c r="K27" i="7"/>
  <c r="J27" i="7"/>
  <c r="I27" i="7"/>
  <c r="H27" i="7"/>
  <c r="G27" i="7"/>
  <c r="F27" i="7"/>
  <c r="E27" i="7"/>
  <c r="D27" i="7"/>
  <c r="C27" i="7"/>
  <c r="A320" i="5"/>
  <c r="A324" i="5" s="1"/>
  <c r="A312" i="5"/>
  <c r="A313" i="5" s="1"/>
  <c r="B303" i="5"/>
  <c r="C303" i="5" s="1"/>
  <c r="A299" i="5"/>
  <c r="A298" i="5"/>
  <c r="C313" i="5"/>
  <c r="A268" i="5"/>
  <c r="A269" i="5" s="1"/>
  <c r="B260" i="5"/>
  <c r="C260" i="5" s="1"/>
  <c r="F260" i="5" s="1"/>
  <c r="H260" i="5" s="1"/>
  <c r="I260" i="5" s="1"/>
  <c r="J260" i="5" s="1"/>
  <c r="A256" i="5"/>
  <c r="A255" i="5"/>
  <c r="D248" i="5"/>
  <c r="C28" i="5"/>
  <c r="H28" i="5" s="1"/>
  <c r="N28" i="5" s="1"/>
  <c r="Q28" i="5" s="1"/>
  <c r="E223" i="5"/>
  <c r="E27" i="5" s="1"/>
  <c r="A220" i="5"/>
  <c r="B212" i="5"/>
  <c r="C212" i="5" s="1"/>
  <c r="D212" i="5" s="1"/>
  <c r="E212" i="5" s="1"/>
  <c r="F212" i="5" s="1"/>
  <c r="A209" i="5"/>
  <c r="A208" i="5"/>
  <c r="A191" i="5"/>
  <c r="A192" i="5" s="1"/>
  <c r="B182" i="5"/>
  <c r="C182" i="5" s="1"/>
  <c r="D182" i="5" s="1"/>
  <c r="E182" i="5" s="1"/>
  <c r="F182" i="5" s="1"/>
  <c r="A178" i="5"/>
  <c r="A177" i="5"/>
  <c r="A166" i="5"/>
  <c r="A154" i="5"/>
  <c r="A155" i="5" s="1"/>
  <c r="B144" i="5"/>
  <c r="C144" i="5" s="1"/>
  <c r="D144" i="5" s="1"/>
  <c r="E144" i="5" s="1"/>
  <c r="F144" i="5" s="1"/>
  <c r="A140" i="5"/>
  <c r="A139" i="5"/>
  <c r="A128" i="5"/>
  <c r="A116" i="5"/>
  <c r="A117" i="5" s="1"/>
  <c r="B106" i="5"/>
  <c r="C106" i="5" s="1"/>
  <c r="D106" i="5" s="1"/>
  <c r="E106" i="5" s="1"/>
  <c r="F106" i="5" s="1"/>
  <c r="A102" i="5"/>
  <c r="A101" i="5"/>
  <c r="C26" i="5"/>
  <c r="F73" i="5"/>
  <c r="H72" i="5"/>
  <c r="H71" i="5"/>
  <c r="E71" i="5"/>
  <c r="H67" i="5"/>
  <c r="C22" i="5"/>
  <c r="G66" i="5"/>
  <c r="G68" i="5" s="1"/>
  <c r="C21" i="5"/>
  <c r="A66" i="5"/>
  <c r="A67" i="5" s="1"/>
  <c r="B57" i="5"/>
  <c r="C57" i="5" s="1"/>
  <c r="D57" i="5" s="1"/>
  <c r="E57" i="5" s="1"/>
  <c r="F57" i="5" s="1"/>
  <c r="A53" i="5"/>
  <c r="A52" i="5"/>
  <c r="P38" i="5"/>
  <c r="O38" i="5"/>
  <c r="G38" i="5"/>
  <c r="I36" i="5"/>
  <c r="E35" i="5"/>
  <c r="W34" i="5"/>
  <c r="W35" i="5" s="1"/>
  <c r="E34" i="5"/>
  <c r="E33" i="5"/>
  <c r="H26" i="5"/>
  <c r="F26" i="5"/>
  <c r="E26" i="5"/>
  <c r="D26" i="5"/>
  <c r="I26" i="5" s="1"/>
  <c r="P23" i="5"/>
  <c r="G22" i="5"/>
  <c r="F22" i="5"/>
  <c r="E22" i="5"/>
  <c r="D22" i="5"/>
  <c r="L21" i="5"/>
  <c r="L22" i="5" s="1"/>
  <c r="A21" i="5"/>
  <c r="W19" i="5"/>
  <c r="W20" i="5" s="1"/>
  <c r="Y11" i="5"/>
  <c r="N11" i="5"/>
  <c r="O11" i="5" s="1"/>
  <c r="P11" i="5" s="1"/>
  <c r="Q11" i="5" s="1"/>
  <c r="B11" i="5"/>
  <c r="C11" i="5" s="1"/>
  <c r="D11" i="5" s="1"/>
  <c r="E11" i="5" s="1"/>
  <c r="F11" i="5" s="1"/>
  <c r="X7" i="5"/>
  <c r="M7" i="5"/>
  <c r="A7" i="5"/>
  <c r="V593" i="4"/>
  <c r="C561" i="4"/>
  <c r="D561" i="4" s="1"/>
  <c r="E561" i="4" s="1"/>
  <c r="F561" i="4" s="1"/>
  <c r="G561" i="4" s="1"/>
  <c r="H561" i="4" s="1"/>
  <c r="I561" i="4" s="1"/>
  <c r="J561" i="4" s="1"/>
  <c r="K561" i="4" s="1"/>
  <c r="L561" i="4" s="1"/>
  <c r="M561" i="4" s="1"/>
  <c r="N561" i="4" s="1"/>
  <c r="O561" i="4" s="1"/>
  <c r="P561" i="4" s="1"/>
  <c r="Q561" i="4" s="1"/>
  <c r="R561" i="4" s="1"/>
  <c r="S561" i="4" s="1"/>
  <c r="T561" i="4" s="1"/>
  <c r="U561" i="4" s="1"/>
  <c r="V561" i="4" s="1"/>
  <c r="I552" i="4"/>
  <c r="I551" i="4"/>
  <c r="I550" i="4"/>
  <c r="I549" i="4"/>
  <c r="H549" i="4"/>
  <c r="I548" i="4"/>
  <c r="I547" i="4"/>
  <c r="G547" i="4"/>
  <c r="G546" i="4"/>
  <c r="I545" i="4"/>
  <c r="G545" i="4"/>
  <c r="V530" i="4"/>
  <c r="V531" i="4" s="1"/>
  <c r="V534" i="4" s="1"/>
  <c r="U530" i="4"/>
  <c r="U531" i="4" s="1"/>
  <c r="U540" i="4" s="1"/>
  <c r="R530" i="4"/>
  <c r="R531" i="4" s="1"/>
  <c r="R539" i="4" s="1"/>
  <c r="M530" i="4"/>
  <c r="M531" i="4" s="1"/>
  <c r="L530" i="4"/>
  <c r="L531" i="4" s="1"/>
  <c r="K530" i="4"/>
  <c r="K531" i="4" s="1"/>
  <c r="D522" i="4"/>
  <c r="D524" i="4" s="1"/>
  <c r="E514" i="4"/>
  <c r="F514" i="4" s="1"/>
  <c r="G514" i="4" s="1"/>
  <c r="H514" i="4" s="1"/>
  <c r="I514" i="4" s="1"/>
  <c r="J514" i="4" s="1"/>
  <c r="K514" i="4" s="1"/>
  <c r="L514" i="4" s="1"/>
  <c r="M514" i="4" s="1"/>
  <c r="N514" i="4" s="1"/>
  <c r="O514" i="4" s="1"/>
  <c r="P514" i="4" s="1"/>
  <c r="Q514" i="4" s="1"/>
  <c r="R514" i="4" s="1"/>
  <c r="S514" i="4" s="1"/>
  <c r="T514" i="4" s="1"/>
  <c r="U514" i="4" s="1"/>
  <c r="V514" i="4" s="1"/>
  <c r="D511" i="4"/>
  <c r="D509" i="4"/>
  <c r="AC499" i="4"/>
  <c r="AC498" i="4"/>
  <c r="AC497" i="4"/>
  <c r="AC496" i="4"/>
  <c r="AC495" i="4"/>
  <c r="AC494" i="4"/>
  <c r="AC493" i="4"/>
  <c r="AC492" i="4"/>
  <c r="AC491" i="4"/>
  <c r="AC490" i="4"/>
  <c r="AC489" i="4"/>
  <c r="AC488" i="4"/>
  <c r="AC487" i="4"/>
  <c r="AC486" i="4"/>
  <c r="AC485" i="4"/>
  <c r="AC484" i="4"/>
  <c r="AC483" i="4"/>
  <c r="AC482" i="4"/>
  <c r="AC481" i="4"/>
  <c r="AC480" i="4"/>
  <c r="AC479" i="4"/>
  <c r="AC478" i="4"/>
  <c r="AC477" i="4"/>
  <c r="AC476" i="4"/>
  <c r="AC475" i="4"/>
  <c r="AC474" i="4"/>
  <c r="AC473" i="4"/>
  <c r="AC472" i="4"/>
  <c r="AC471" i="4"/>
  <c r="AC470" i="4"/>
  <c r="AC469" i="4"/>
  <c r="AC468" i="4"/>
  <c r="AC467" i="4"/>
  <c r="AC466" i="4"/>
  <c r="AC465" i="4"/>
  <c r="AC464" i="4"/>
  <c r="AC463" i="4"/>
  <c r="AC462" i="4"/>
  <c r="AC461" i="4"/>
  <c r="AC460" i="4"/>
  <c r="AC459" i="4"/>
  <c r="AC458" i="4"/>
  <c r="AC457" i="4"/>
  <c r="AC456" i="4"/>
  <c r="AC455" i="4"/>
  <c r="AC451" i="4"/>
  <c r="E451" i="4"/>
  <c r="F451" i="4" s="1"/>
  <c r="G451" i="4" s="1"/>
  <c r="H451" i="4" s="1"/>
  <c r="I451" i="4" s="1"/>
  <c r="J451" i="4" s="1"/>
  <c r="K451" i="4" s="1"/>
  <c r="L451" i="4" s="1"/>
  <c r="M451" i="4" s="1"/>
  <c r="N451" i="4" s="1"/>
  <c r="O451" i="4" s="1"/>
  <c r="P451" i="4" s="1"/>
  <c r="Q451" i="4" s="1"/>
  <c r="R451" i="4" s="1"/>
  <c r="S451" i="4" s="1"/>
  <c r="T451" i="4" s="1"/>
  <c r="U451" i="4" s="1"/>
  <c r="V451" i="4" s="1"/>
  <c r="AE451" i="4" s="1"/>
  <c r="AF451" i="4" s="1"/>
  <c r="AA450" i="4"/>
  <c r="AA449" i="4"/>
  <c r="D449" i="4"/>
  <c r="AA448" i="4"/>
  <c r="D447" i="4"/>
  <c r="AI445" i="4"/>
  <c r="AC443" i="4"/>
  <c r="AC442" i="4"/>
  <c r="AC441" i="4"/>
  <c r="AC440" i="4"/>
  <c r="AC439" i="4"/>
  <c r="AC438" i="4"/>
  <c r="AC437" i="4"/>
  <c r="AC436" i="4"/>
  <c r="AC435" i="4"/>
  <c r="AC434" i="4"/>
  <c r="AC433" i="4"/>
  <c r="AC432" i="4"/>
  <c r="AC431" i="4"/>
  <c r="AC430" i="4"/>
  <c r="AC429" i="4"/>
  <c r="AC428" i="4"/>
  <c r="AC427" i="4"/>
  <c r="AC426" i="4"/>
  <c r="AC425" i="4"/>
  <c r="AC424" i="4"/>
  <c r="AC423" i="4"/>
  <c r="AC422" i="4"/>
  <c r="AC421" i="4"/>
  <c r="AC420" i="4"/>
  <c r="AC419" i="4"/>
  <c r="AC418" i="4"/>
  <c r="AC417" i="4"/>
  <c r="AC416" i="4"/>
  <c r="AC415" i="4"/>
  <c r="AC414" i="4"/>
  <c r="AC413" i="4"/>
  <c r="AC412" i="4"/>
  <c r="AC411" i="4"/>
  <c r="AC410" i="4"/>
  <c r="AC409" i="4"/>
  <c r="AC408" i="4"/>
  <c r="AC407" i="4"/>
  <c r="AC406" i="4"/>
  <c r="AC405" i="4"/>
  <c r="AC404" i="4"/>
  <c r="AC403" i="4"/>
  <c r="AC402" i="4"/>
  <c r="AC401" i="4"/>
  <c r="AC400" i="4"/>
  <c r="D400" i="4"/>
  <c r="D401" i="4" s="1"/>
  <c r="AC399" i="4"/>
  <c r="AC395" i="4"/>
  <c r="E395" i="4"/>
  <c r="F395" i="4" s="1"/>
  <c r="G395" i="4" s="1"/>
  <c r="H395" i="4" s="1"/>
  <c r="I395" i="4" s="1"/>
  <c r="J395" i="4" s="1"/>
  <c r="K395" i="4" s="1"/>
  <c r="L395" i="4" s="1"/>
  <c r="M395" i="4" s="1"/>
  <c r="N395" i="4" s="1"/>
  <c r="O395" i="4" s="1"/>
  <c r="P395" i="4" s="1"/>
  <c r="Q395" i="4" s="1"/>
  <c r="R395" i="4" s="1"/>
  <c r="S395" i="4" s="1"/>
  <c r="T395" i="4" s="1"/>
  <c r="U395" i="4" s="1"/>
  <c r="V395" i="4" s="1"/>
  <c r="AE395" i="4" s="1"/>
  <c r="AF395" i="4" s="1"/>
  <c r="AA394" i="4"/>
  <c r="AA393" i="4"/>
  <c r="D393" i="4"/>
  <c r="AA392" i="4"/>
  <c r="D391" i="4"/>
  <c r="AI389" i="4"/>
  <c r="AC380" i="4"/>
  <c r="AC379" i="4"/>
  <c r="AC378" i="4"/>
  <c r="AC377" i="4"/>
  <c r="AC376" i="4"/>
  <c r="AC375" i="4"/>
  <c r="AC374" i="4"/>
  <c r="AC373" i="4"/>
  <c r="AC372" i="4"/>
  <c r="AC371" i="4"/>
  <c r="AC370" i="4"/>
  <c r="AC369" i="4"/>
  <c r="AC368" i="4"/>
  <c r="AC367" i="4"/>
  <c r="E366" i="4"/>
  <c r="AC366" i="4" s="1"/>
  <c r="AC365" i="4"/>
  <c r="AC364" i="4"/>
  <c r="AC363" i="4"/>
  <c r="AC362" i="4"/>
  <c r="AC361" i="4"/>
  <c r="V361" i="4"/>
  <c r="V363" i="4" s="1"/>
  <c r="V368" i="4" s="1"/>
  <c r="T361" i="4"/>
  <c r="T363" i="4" s="1"/>
  <c r="AC360" i="4"/>
  <c r="AC359" i="4"/>
  <c r="AC358" i="4"/>
  <c r="AC357" i="4"/>
  <c r="AC356" i="4"/>
  <c r="AC355" i="4"/>
  <c r="AC354" i="4"/>
  <c r="AC353" i="4"/>
  <c r="AC352" i="4"/>
  <c r="AC351" i="4"/>
  <c r="AC350" i="4"/>
  <c r="AC349" i="4"/>
  <c r="D349" i="4"/>
  <c r="D350" i="4" s="1"/>
  <c r="AC348" i="4"/>
  <c r="AC347" i="4"/>
  <c r="AC346" i="4"/>
  <c r="AC341" i="4"/>
  <c r="E341" i="4"/>
  <c r="F341" i="4" s="1"/>
  <c r="G341" i="4" s="1"/>
  <c r="H341" i="4" s="1"/>
  <c r="I341" i="4" s="1"/>
  <c r="J341" i="4" s="1"/>
  <c r="K341" i="4" s="1"/>
  <c r="L341" i="4" s="1"/>
  <c r="M341" i="4" s="1"/>
  <c r="N341" i="4" s="1"/>
  <c r="O341" i="4" s="1"/>
  <c r="P341" i="4" s="1"/>
  <c r="Q341" i="4" s="1"/>
  <c r="R341" i="4" s="1"/>
  <c r="S341" i="4" s="1"/>
  <c r="T341" i="4" s="1"/>
  <c r="U341" i="4" s="1"/>
  <c r="V341" i="4" s="1"/>
  <c r="AE341" i="4" s="1"/>
  <c r="AF341" i="4" s="1"/>
  <c r="AA339" i="4"/>
  <c r="AA338" i="4"/>
  <c r="D338" i="4"/>
  <c r="AA337" i="4"/>
  <c r="D336" i="4"/>
  <c r="AI333" i="4"/>
  <c r="AC322" i="4"/>
  <c r="AC321" i="4"/>
  <c r="AC320" i="4"/>
  <c r="AC319" i="4"/>
  <c r="AC318" i="4"/>
  <c r="AC317" i="4"/>
  <c r="AC316" i="4"/>
  <c r="AC315" i="4"/>
  <c r="AC314" i="4"/>
  <c r="AC313" i="4"/>
  <c r="AC312" i="4"/>
  <c r="AC311" i="4"/>
  <c r="AC310" i="4"/>
  <c r="U310" i="4"/>
  <c r="AC309" i="4"/>
  <c r="AC308" i="4"/>
  <c r="H308" i="4"/>
  <c r="AC307" i="4"/>
  <c r="AC306" i="4"/>
  <c r="AC305" i="4"/>
  <c r="AC304" i="4"/>
  <c r="AC302" i="4"/>
  <c r="AC301" i="4"/>
  <c r="AC300" i="4"/>
  <c r="AF299" i="4"/>
  <c r="AE299" i="4"/>
  <c r="AC299" i="4"/>
  <c r="AC298" i="4"/>
  <c r="AC296" i="4"/>
  <c r="AC293" i="4"/>
  <c r="AC292" i="4"/>
  <c r="AC291" i="4"/>
  <c r="F291" i="4" s="1"/>
  <c r="AC290" i="4"/>
  <c r="G290" i="4"/>
  <c r="AC289" i="4"/>
  <c r="AC288" i="4"/>
  <c r="AC287" i="4"/>
  <c r="AC286" i="4"/>
  <c r="D286" i="4"/>
  <c r="D287" i="4" s="1"/>
  <c r="AC285" i="4"/>
  <c r="AC280" i="4"/>
  <c r="E280" i="4"/>
  <c r="F280" i="4" s="1"/>
  <c r="G280" i="4" s="1"/>
  <c r="H280" i="4" s="1"/>
  <c r="I280" i="4" s="1"/>
  <c r="J280" i="4" s="1"/>
  <c r="K280" i="4" s="1"/>
  <c r="L280" i="4" s="1"/>
  <c r="M280" i="4" s="1"/>
  <c r="N280" i="4" s="1"/>
  <c r="O280" i="4" s="1"/>
  <c r="P280" i="4" s="1"/>
  <c r="Q280" i="4" s="1"/>
  <c r="R280" i="4" s="1"/>
  <c r="S280" i="4" s="1"/>
  <c r="T280" i="4" s="1"/>
  <c r="U280" i="4" s="1"/>
  <c r="V280" i="4" s="1"/>
  <c r="AE280" i="4" s="1"/>
  <c r="AF280" i="4" s="1"/>
  <c r="AH280" i="4" s="1"/>
  <c r="AA278" i="4"/>
  <c r="AA277" i="4"/>
  <c r="D277" i="4"/>
  <c r="AA276" i="4"/>
  <c r="D275" i="4"/>
  <c r="AC270" i="4"/>
  <c r="AC269" i="4"/>
  <c r="AC268" i="4"/>
  <c r="B268" i="4"/>
  <c r="AC267" i="4"/>
  <c r="B267" i="4"/>
  <c r="AC266" i="4"/>
  <c r="AC265" i="4"/>
  <c r="AH264" i="4"/>
  <c r="AC264" i="4"/>
  <c r="AC263" i="4"/>
  <c r="AC262" i="4"/>
  <c r="AC261" i="4"/>
  <c r="AC260" i="4"/>
  <c r="AC259" i="4"/>
  <c r="AC258" i="4"/>
  <c r="AC257" i="4"/>
  <c r="AC256" i="4"/>
  <c r="AC255" i="4"/>
  <c r="AC254" i="4"/>
  <c r="AC253" i="4"/>
  <c r="AC252" i="4"/>
  <c r="AC251" i="4"/>
  <c r="AC250" i="4"/>
  <c r="AC249" i="4"/>
  <c r="AF248" i="4"/>
  <c r="AE248" i="4"/>
  <c r="AC248" i="4"/>
  <c r="AC247" i="4"/>
  <c r="AC246" i="4"/>
  <c r="AC245" i="4"/>
  <c r="AC244" i="4"/>
  <c r="AF243" i="4"/>
  <c r="AE243" i="4"/>
  <c r="AC243" i="4"/>
  <c r="AC242" i="4"/>
  <c r="AC241" i="4"/>
  <c r="AC240" i="4"/>
  <c r="AC239" i="4"/>
  <c r="AC238" i="4"/>
  <c r="AF237" i="4"/>
  <c r="AE237" i="4"/>
  <c r="AC237" i="4"/>
  <c r="AC236" i="4"/>
  <c r="AC235" i="4"/>
  <c r="AC234" i="4"/>
  <c r="AC233" i="4"/>
  <c r="AC232" i="4"/>
  <c r="AC231" i="4"/>
  <c r="D231" i="4"/>
  <c r="D232" i="4" s="1"/>
  <c r="AC230" i="4"/>
  <c r="AC226" i="4"/>
  <c r="E226" i="4"/>
  <c r="F226" i="4" s="1"/>
  <c r="G226" i="4" s="1"/>
  <c r="H226" i="4" s="1"/>
  <c r="I226" i="4" s="1"/>
  <c r="J226" i="4" s="1"/>
  <c r="K226" i="4" s="1"/>
  <c r="L226" i="4" s="1"/>
  <c r="M226" i="4" s="1"/>
  <c r="N226" i="4" s="1"/>
  <c r="O226" i="4" s="1"/>
  <c r="P226" i="4" s="1"/>
  <c r="Q226" i="4" s="1"/>
  <c r="R226" i="4" s="1"/>
  <c r="S226" i="4" s="1"/>
  <c r="T226" i="4" s="1"/>
  <c r="U226" i="4" s="1"/>
  <c r="V226" i="4" s="1"/>
  <c r="AE226" i="4" s="1"/>
  <c r="AF226" i="4" s="1"/>
  <c r="AH226" i="4" s="1"/>
  <c r="AB225" i="4"/>
  <c r="AB224" i="4"/>
  <c r="D224" i="4"/>
  <c r="AB223" i="4"/>
  <c r="D222" i="4"/>
  <c r="AC221" i="4"/>
  <c r="AC220" i="4"/>
  <c r="AC218" i="4"/>
  <c r="AC217" i="4"/>
  <c r="AC216" i="4"/>
  <c r="AC215" i="4"/>
  <c r="AC214" i="4"/>
  <c r="AC213" i="4"/>
  <c r="AC212" i="4"/>
  <c r="AC211" i="4"/>
  <c r="AC210" i="4"/>
  <c r="U210" i="4"/>
  <c r="T210" i="4"/>
  <c r="S210" i="4"/>
  <c r="R210" i="4"/>
  <c r="Q210" i="4"/>
  <c r="P210" i="4"/>
  <c r="O210" i="4"/>
  <c r="N210" i="4"/>
  <c r="M210" i="4"/>
  <c r="L210" i="4"/>
  <c r="K210" i="4"/>
  <c r="AC209" i="4"/>
  <c r="AC208" i="4"/>
  <c r="AC207" i="4"/>
  <c r="AC206" i="4"/>
  <c r="AC205" i="4"/>
  <c r="AC203" i="4"/>
  <c r="AC202" i="4"/>
  <c r="AC201" i="4"/>
  <c r="AC200" i="4"/>
  <c r="AC199" i="4"/>
  <c r="AC197" i="4"/>
  <c r="AC196" i="4"/>
  <c r="AC195" i="4"/>
  <c r="D195" i="4"/>
  <c r="D197" i="4" s="1"/>
  <c r="AC194" i="4"/>
  <c r="AC193" i="4"/>
  <c r="AC189" i="4"/>
  <c r="E189" i="4"/>
  <c r="F189" i="4" s="1"/>
  <c r="G189" i="4" s="1"/>
  <c r="H189" i="4" s="1"/>
  <c r="I189" i="4" s="1"/>
  <c r="J189" i="4" s="1"/>
  <c r="K189" i="4" s="1"/>
  <c r="L189" i="4" s="1"/>
  <c r="M189" i="4" s="1"/>
  <c r="N189" i="4" s="1"/>
  <c r="O189" i="4" s="1"/>
  <c r="P189" i="4" s="1"/>
  <c r="Q189" i="4" s="1"/>
  <c r="R189" i="4" s="1"/>
  <c r="S189" i="4" s="1"/>
  <c r="T189" i="4" s="1"/>
  <c r="U189" i="4" s="1"/>
  <c r="V189" i="4" s="1"/>
  <c r="AE189" i="4" s="1"/>
  <c r="AA187" i="4"/>
  <c r="AA186" i="4"/>
  <c r="D186" i="4"/>
  <c r="AA185" i="4"/>
  <c r="D184" i="4"/>
  <c r="B170" i="4"/>
  <c r="I168" i="4"/>
  <c r="U155" i="4"/>
  <c r="U156" i="4" s="1"/>
  <c r="T155" i="4"/>
  <c r="T156" i="4" s="1"/>
  <c r="S155" i="4"/>
  <c r="S156" i="4" s="1"/>
  <c r="R155" i="4"/>
  <c r="R156" i="4" s="1"/>
  <c r="Q155" i="4"/>
  <c r="Q156" i="4" s="1"/>
  <c r="P155" i="4"/>
  <c r="P156" i="4" s="1"/>
  <c r="O155" i="4"/>
  <c r="O156" i="4" s="1"/>
  <c r="N155" i="4"/>
  <c r="N156" i="4" s="1"/>
  <c r="M155" i="4"/>
  <c r="M156" i="4" s="1"/>
  <c r="L155" i="4"/>
  <c r="E153" i="4"/>
  <c r="E152" i="4"/>
  <c r="E151" i="4"/>
  <c r="I142" i="4"/>
  <c r="D133" i="4"/>
  <c r="E127" i="4"/>
  <c r="F127" i="4" s="1"/>
  <c r="G127" i="4" s="1"/>
  <c r="H127" i="4" s="1"/>
  <c r="I127" i="4" s="1"/>
  <c r="J127" i="4" s="1"/>
  <c r="K127" i="4" s="1"/>
  <c r="L127" i="4" s="1"/>
  <c r="M127" i="4" s="1"/>
  <c r="N127" i="4" s="1"/>
  <c r="O127" i="4" s="1"/>
  <c r="P127" i="4" s="1"/>
  <c r="Q127" i="4" s="1"/>
  <c r="R127" i="4" s="1"/>
  <c r="S127" i="4" s="1"/>
  <c r="T127" i="4" s="1"/>
  <c r="U127" i="4" s="1"/>
  <c r="V127" i="4" s="1"/>
  <c r="D125" i="4"/>
  <c r="D123" i="4"/>
  <c r="B110" i="4"/>
  <c r="I108" i="4"/>
  <c r="U95" i="4"/>
  <c r="U96" i="4" s="1"/>
  <c r="T95" i="4"/>
  <c r="T96" i="4" s="1"/>
  <c r="S95" i="4"/>
  <c r="S96" i="4" s="1"/>
  <c r="R95" i="4"/>
  <c r="R96" i="4" s="1"/>
  <c r="Q95" i="4"/>
  <c r="Q96" i="4" s="1"/>
  <c r="P95" i="4"/>
  <c r="P96" i="4" s="1"/>
  <c r="O95" i="4"/>
  <c r="O96" i="4" s="1"/>
  <c r="N95" i="4"/>
  <c r="N96" i="4" s="1"/>
  <c r="M95" i="4"/>
  <c r="M96" i="4" s="1"/>
  <c r="L95" i="4"/>
  <c r="E93" i="4"/>
  <c r="E92" i="4"/>
  <c r="E91" i="4"/>
  <c r="I82" i="4"/>
  <c r="D73" i="4"/>
  <c r="E67" i="4"/>
  <c r="F67" i="4" s="1"/>
  <c r="G67" i="4" s="1"/>
  <c r="H67" i="4" s="1"/>
  <c r="I67" i="4" s="1"/>
  <c r="J67" i="4" s="1"/>
  <c r="K67" i="4" s="1"/>
  <c r="L67" i="4" s="1"/>
  <c r="M67" i="4" s="1"/>
  <c r="N67" i="4" s="1"/>
  <c r="O67" i="4" s="1"/>
  <c r="P67" i="4" s="1"/>
  <c r="Q67" i="4" s="1"/>
  <c r="R67" i="4" s="1"/>
  <c r="S67" i="4" s="1"/>
  <c r="T67" i="4" s="1"/>
  <c r="U67" i="4" s="1"/>
  <c r="V67" i="4" s="1"/>
  <c r="D65" i="4"/>
  <c r="D63" i="4"/>
  <c r="AC58" i="4"/>
  <c r="AC57" i="4"/>
  <c r="AC56" i="4"/>
  <c r="AC55" i="4"/>
  <c r="AC54" i="4"/>
  <c r="AC52" i="4"/>
  <c r="B52" i="4"/>
  <c r="AC51" i="4"/>
  <c r="AC50" i="4"/>
  <c r="I50" i="4"/>
  <c r="AC49" i="4"/>
  <c r="AC48" i="4"/>
  <c r="AC47" i="4"/>
  <c r="AC46" i="4"/>
  <c r="AC45" i="4"/>
  <c r="AC44" i="4"/>
  <c r="AC43" i="4"/>
  <c r="AC42" i="4"/>
  <c r="AC41" i="4"/>
  <c r="AC40" i="4"/>
  <c r="AC39" i="4"/>
  <c r="AC38" i="4"/>
  <c r="AC37" i="4"/>
  <c r="U37" i="4"/>
  <c r="U38" i="4" s="1"/>
  <c r="T37" i="4"/>
  <c r="T38" i="4" s="1"/>
  <c r="S37" i="4"/>
  <c r="S38" i="4" s="1"/>
  <c r="R37" i="4"/>
  <c r="R38" i="4" s="1"/>
  <c r="Q37" i="4"/>
  <c r="Q38" i="4" s="1"/>
  <c r="P37" i="4"/>
  <c r="P38" i="4" s="1"/>
  <c r="O37" i="4"/>
  <c r="N37" i="4"/>
  <c r="N38" i="4" s="1"/>
  <c r="M37" i="4"/>
  <c r="M38" i="4" s="1"/>
  <c r="L37" i="4"/>
  <c r="AC36" i="4"/>
  <c r="AC35" i="4"/>
  <c r="AC34" i="4"/>
  <c r="AC33" i="4"/>
  <c r="AC32" i="4"/>
  <c r="AC31" i="4"/>
  <c r="AC30" i="4"/>
  <c r="AC29" i="4"/>
  <c r="AC28" i="4"/>
  <c r="AC27" i="4"/>
  <c r="AC26" i="4"/>
  <c r="AC25" i="4"/>
  <c r="AC24" i="4"/>
  <c r="I24" i="4"/>
  <c r="AC23" i="4"/>
  <c r="AC22" i="4"/>
  <c r="AC21" i="4"/>
  <c r="AC20" i="4"/>
  <c r="AC19" i="4"/>
  <c r="AC18" i="4"/>
  <c r="AC17" i="4"/>
  <c r="AC16" i="4"/>
  <c r="AC15" i="4"/>
  <c r="D15" i="4"/>
  <c r="D16" i="4" s="1"/>
  <c r="AC14" i="4"/>
  <c r="AC13" i="4"/>
  <c r="AC10" i="4"/>
  <c r="E9" i="4"/>
  <c r="F9" i="4" s="1"/>
  <c r="G9" i="4" s="1"/>
  <c r="H9" i="4" s="1"/>
  <c r="I9" i="4" s="1"/>
  <c r="J9" i="4" s="1"/>
  <c r="K9" i="4" s="1"/>
  <c r="L9" i="4" s="1"/>
  <c r="M9" i="4" s="1"/>
  <c r="N9" i="4" s="1"/>
  <c r="O9" i="4" s="1"/>
  <c r="P9" i="4" s="1"/>
  <c r="Q9" i="4" s="1"/>
  <c r="R9" i="4" s="1"/>
  <c r="S9" i="4" s="1"/>
  <c r="T9" i="4" s="1"/>
  <c r="U9" i="4" s="1"/>
  <c r="V9" i="4" s="1"/>
  <c r="AE10" i="4" s="1"/>
  <c r="AA8" i="4"/>
  <c r="AA7" i="4"/>
  <c r="D7" i="4"/>
  <c r="AA6" i="4"/>
  <c r="D6" i="4"/>
  <c r="D64" i="4" s="1"/>
  <c r="H22" i="5" l="1"/>
  <c r="P40" i="5"/>
  <c r="G21" i="5"/>
  <c r="C23" i="5"/>
  <c r="W21" i="5"/>
  <c r="W22" i="5" s="1"/>
  <c r="W23" i="5" s="1"/>
  <c r="A326" i="5"/>
  <c r="A325" i="5"/>
  <c r="A22" i="5"/>
  <c r="A221" i="5"/>
  <c r="A223" i="5" s="1"/>
  <c r="A225" i="5" s="1"/>
  <c r="A228" i="5" s="1"/>
  <c r="C73" i="5"/>
  <c r="C25" i="5" s="1"/>
  <c r="A193" i="5"/>
  <c r="A194" i="5" s="1"/>
  <c r="A195" i="5" s="1"/>
  <c r="A118" i="5"/>
  <c r="C236" i="5"/>
  <c r="C29" i="5" s="1"/>
  <c r="A321" i="5"/>
  <c r="A156" i="5"/>
  <c r="A157" i="5" s="1"/>
  <c r="H11" i="5"/>
  <c r="I11" i="5" s="1"/>
  <c r="G11" i="5"/>
  <c r="H212" i="5"/>
  <c r="I212" i="5" s="1"/>
  <c r="G212" i="5"/>
  <c r="H182" i="5"/>
  <c r="I182" i="5" s="1"/>
  <c r="G182" i="5"/>
  <c r="H106" i="5"/>
  <c r="I106" i="5" s="1"/>
  <c r="G106" i="5"/>
  <c r="C198" i="5"/>
  <c r="H57" i="5"/>
  <c r="I57" i="5" s="1"/>
  <c r="G57" i="5"/>
  <c r="C87" i="5"/>
  <c r="C128" i="5"/>
  <c r="C33" i="5" s="1"/>
  <c r="H144" i="5"/>
  <c r="I144" i="5" s="1"/>
  <c r="G144" i="5"/>
  <c r="W36" i="5"/>
  <c r="W38" i="5" s="1"/>
  <c r="C166" i="5"/>
  <c r="A68" i="5"/>
  <c r="A271" i="5"/>
  <c r="A273" i="5" s="1"/>
  <c r="C68" i="5"/>
  <c r="E243" i="5"/>
  <c r="N522" i="4"/>
  <c r="L23" i="5"/>
  <c r="L25" i="5" s="1"/>
  <c r="N524" i="4"/>
  <c r="J553" i="4"/>
  <c r="AF250" i="4"/>
  <c r="I553" i="4"/>
  <c r="R534" i="4"/>
  <c r="R536" i="4"/>
  <c r="R537" i="4"/>
  <c r="D525" i="4"/>
  <c r="D526" i="4" s="1"/>
  <c r="U537" i="4"/>
  <c r="U539" i="4"/>
  <c r="J361" i="4"/>
  <c r="J363" i="4" s="1"/>
  <c r="J371" i="4" s="1"/>
  <c r="V421" i="4"/>
  <c r="I361" i="4"/>
  <c r="I363" i="4" s="1"/>
  <c r="D134" i="4"/>
  <c r="D135" i="4" s="1"/>
  <c r="D199" i="4"/>
  <c r="V410" i="4"/>
  <c r="V402" i="4"/>
  <c r="V422" i="4"/>
  <c r="V411" i="4"/>
  <c r="V372" i="4"/>
  <c r="L361" i="4"/>
  <c r="L363" i="4" s="1"/>
  <c r="V424" i="4"/>
  <c r="D74" i="4"/>
  <c r="D75" i="4" s="1"/>
  <c r="K361" i="4"/>
  <c r="K363" i="4" s="1"/>
  <c r="D288" i="4"/>
  <c r="V373" i="4"/>
  <c r="V405" i="4"/>
  <c r="R538" i="4"/>
  <c r="V425" i="4"/>
  <c r="V374" i="4"/>
  <c r="V406" i="4"/>
  <c r="R540" i="4"/>
  <c r="AE361" i="4"/>
  <c r="AE363" i="4" s="1"/>
  <c r="V366" i="4"/>
  <c r="V375" i="4"/>
  <c r="V407" i="4"/>
  <c r="V367" i="4"/>
  <c r="V376" i="4"/>
  <c r="V408" i="4"/>
  <c r="D17" i="4"/>
  <c r="O38" i="4"/>
  <c r="D510" i="4"/>
  <c r="D448" i="4"/>
  <c r="D392" i="4"/>
  <c r="D337" i="4"/>
  <c r="D276" i="4"/>
  <c r="D223" i="4"/>
  <c r="D185" i="4"/>
  <c r="D124" i="4"/>
  <c r="G554" i="4"/>
  <c r="D351" i="4"/>
  <c r="N361" i="4"/>
  <c r="N363" i="4" s="1"/>
  <c r="P361" i="4"/>
  <c r="P363" i="4" s="1"/>
  <c r="H290" i="4"/>
  <c r="D233" i="4"/>
  <c r="AE250" i="4"/>
  <c r="G361" i="4"/>
  <c r="G363" i="4" s="1"/>
  <c r="H361" i="4"/>
  <c r="H363" i="4" s="1"/>
  <c r="T376" i="4"/>
  <c r="T368" i="4"/>
  <c r="T375" i="4"/>
  <c r="T372" i="4"/>
  <c r="K537" i="4"/>
  <c r="K534" i="4"/>
  <c r="K539" i="4"/>
  <c r="K538" i="4"/>
  <c r="K540" i="4"/>
  <c r="K536" i="4"/>
  <c r="K541" i="4"/>
  <c r="L541" i="4"/>
  <c r="L536" i="4"/>
  <c r="L540" i="4"/>
  <c r="L538" i="4"/>
  <c r="L534" i="4"/>
  <c r="L539" i="4"/>
  <c r="L537" i="4"/>
  <c r="T373" i="4"/>
  <c r="D402" i="4"/>
  <c r="M541" i="4"/>
  <c r="M536" i="4"/>
  <c r="M539" i="4"/>
  <c r="M540" i="4"/>
  <c r="M534" i="4"/>
  <c r="M537" i="4"/>
  <c r="M538" i="4"/>
  <c r="T366" i="4"/>
  <c r="T374" i="4"/>
  <c r="T367" i="4"/>
  <c r="T377" i="4"/>
  <c r="T370" i="4"/>
  <c r="T378" i="4"/>
  <c r="V371" i="4"/>
  <c r="V417" i="4"/>
  <c r="V409" i="4"/>
  <c r="V404" i="4"/>
  <c r="V378" i="4"/>
  <c r="V423" i="4"/>
  <c r="V420" i="4"/>
  <c r="V426" i="4"/>
  <c r="V377" i="4"/>
  <c r="V370" i="4"/>
  <c r="V419" i="4"/>
  <c r="T371" i="4"/>
  <c r="V538" i="4"/>
  <c r="V536" i="4"/>
  <c r="V539" i="4"/>
  <c r="V540" i="4"/>
  <c r="V537" i="4"/>
  <c r="U538" i="4"/>
  <c r="U534" i="4"/>
  <c r="U536" i="4"/>
  <c r="R541" i="4"/>
  <c r="H553" i="4"/>
  <c r="G23" i="5" l="1"/>
  <c r="A229" i="5"/>
  <c r="A230" i="5" s="1"/>
  <c r="A119" i="5"/>
  <c r="A120" i="5" s="1"/>
  <c r="A23" i="5"/>
  <c r="L27" i="5"/>
  <c r="C34" i="5"/>
  <c r="A196" i="5"/>
  <c r="A198" i="5" s="1"/>
  <c r="R542" i="4"/>
  <c r="R543" i="4" s="1"/>
  <c r="C35" i="5"/>
  <c r="J368" i="4"/>
  <c r="W40" i="5"/>
  <c r="A158" i="5"/>
  <c r="A70" i="5"/>
  <c r="A71" i="5" s="1"/>
  <c r="C88" i="5"/>
  <c r="C32" i="5"/>
  <c r="D527" i="4"/>
  <c r="D528" i="4" s="1"/>
  <c r="D531" i="4" s="1"/>
  <c r="D533" i="4" s="1"/>
  <c r="U542" i="4"/>
  <c r="U543" i="4" s="1"/>
  <c r="J376" i="4"/>
  <c r="D200" i="4"/>
  <c r="D201" i="4" s="1"/>
  <c r="D203" i="4" s="1"/>
  <c r="D205" i="4" s="1"/>
  <c r="D206" i="4" s="1"/>
  <c r="J377" i="4"/>
  <c r="J366" i="4"/>
  <c r="J374" i="4"/>
  <c r="D136" i="4"/>
  <c r="D137" i="4" s="1"/>
  <c r="D138" i="4" s="1"/>
  <c r="D139" i="4" s="1"/>
  <c r="D76" i="4"/>
  <c r="J375" i="4"/>
  <c r="J372" i="4"/>
  <c r="V380" i="4"/>
  <c r="J367" i="4"/>
  <c r="J373" i="4"/>
  <c r="D289" i="4"/>
  <c r="K542" i="4"/>
  <c r="K543" i="4" s="1"/>
  <c r="J370" i="4"/>
  <c r="J378" i="4"/>
  <c r="T380" i="4"/>
  <c r="G368" i="4"/>
  <c r="G378" i="4"/>
  <c r="G371" i="4"/>
  <c r="G367" i="4"/>
  <c r="G376" i="4"/>
  <c r="G375" i="4"/>
  <c r="G374" i="4"/>
  <c r="G366" i="4"/>
  <c r="G373" i="4"/>
  <c r="G372" i="4"/>
  <c r="G370" i="4"/>
  <c r="G377" i="4"/>
  <c r="V412" i="4"/>
  <c r="V542" i="4"/>
  <c r="V543" i="4" s="1"/>
  <c r="P372" i="4"/>
  <c r="P371" i="4"/>
  <c r="P373" i="4"/>
  <c r="P378" i="4"/>
  <c r="P370" i="4"/>
  <c r="P377" i="4"/>
  <c r="P376" i="4"/>
  <c r="P368" i="4"/>
  <c r="P375" i="4"/>
  <c r="P367" i="4"/>
  <c r="P374" i="4"/>
  <c r="P366" i="4"/>
  <c r="AE373" i="4"/>
  <c r="AE372" i="4"/>
  <c r="AE377" i="4"/>
  <c r="AE376" i="4"/>
  <c r="AE368" i="4"/>
  <c r="AE375" i="4"/>
  <c r="AE367" i="4"/>
  <c r="AE374" i="4"/>
  <c r="AE366" i="4"/>
  <c r="AE371" i="4"/>
  <c r="AE378" i="4"/>
  <c r="AE370" i="4"/>
  <c r="H368" i="4"/>
  <c r="N377" i="4"/>
  <c r="N370" i="4"/>
  <c r="N376" i="4"/>
  <c r="N373" i="4"/>
  <c r="N372" i="4"/>
  <c r="N371" i="4"/>
  <c r="N378" i="4"/>
  <c r="N368" i="4"/>
  <c r="N375" i="4"/>
  <c r="N367" i="4"/>
  <c r="N374" i="4"/>
  <c r="N366" i="4"/>
  <c r="K375" i="4"/>
  <c r="K374" i="4"/>
  <c r="K366" i="4"/>
  <c r="K373" i="4"/>
  <c r="K372" i="4"/>
  <c r="K371" i="4"/>
  <c r="K378" i="4"/>
  <c r="K370" i="4"/>
  <c r="K377" i="4"/>
  <c r="K376" i="4"/>
  <c r="K368" i="4"/>
  <c r="K367" i="4"/>
  <c r="L542" i="4"/>
  <c r="L543" i="4" s="1"/>
  <c r="D404" i="4"/>
  <c r="D405" i="4" s="1"/>
  <c r="L375" i="4"/>
  <c r="L367" i="4"/>
  <c r="L374" i="4"/>
  <c r="L366" i="4"/>
  <c r="L373" i="4"/>
  <c r="L372" i="4"/>
  <c r="L371" i="4"/>
  <c r="L378" i="4"/>
  <c r="L370" i="4"/>
  <c r="L377" i="4"/>
  <c r="L376" i="4"/>
  <c r="L368" i="4"/>
  <c r="D234" i="4"/>
  <c r="I373" i="4"/>
  <c r="I376" i="4"/>
  <c r="I368" i="4"/>
  <c r="I375" i="4"/>
  <c r="I367" i="4"/>
  <c r="I374" i="4"/>
  <c r="I366" i="4"/>
  <c r="I372" i="4"/>
  <c r="I371" i="4"/>
  <c r="I378" i="4"/>
  <c r="I370" i="4"/>
  <c r="I377" i="4"/>
  <c r="V427" i="4"/>
  <c r="D353" i="4"/>
  <c r="M542" i="4"/>
  <c r="M543" i="4" s="1"/>
  <c r="D18" i="4"/>
  <c r="G40" i="5" l="1"/>
  <c r="A25" i="5"/>
  <c r="A26" i="5" s="1"/>
  <c r="A231" i="5"/>
  <c r="A121" i="5"/>
  <c r="A122" i="5" s="1"/>
  <c r="A123" i="5" s="1"/>
  <c r="A124" i="5" s="1"/>
  <c r="A72" i="5"/>
  <c r="W41" i="5"/>
  <c r="C38" i="5"/>
  <c r="A159" i="5"/>
  <c r="L28" i="5"/>
  <c r="L29" i="5" s="1"/>
  <c r="L32" i="5" s="1"/>
  <c r="L380" i="4"/>
  <c r="J380" i="4"/>
  <c r="D77" i="4"/>
  <c r="D78" i="4" s="1"/>
  <c r="D290" i="4"/>
  <c r="D291" i="4" s="1"/>
  <c r="AE440" i="4"/>
  <c r="AE425" i="4"/>
  <c r="AE426" i="4"/>
  <c r="AE441" i="4"/>
  <c r="L504" i="4"/>
  <c r="AE436" i="4"/>
  <c r="AE421" i="4"/>
  <c r="AE380" i="4"/>
  <c r="AE430" i="4"/>
  <c r="AE415" i="4"/>
  <c r="J503" i="4"/>
  <c r="L505" i="4"/>
  <c r="I380" i="4"/>
  <c r="K502" i="4"/>
  <c r="AE423" i="4"/>
  <c r="AE438" i="4"/>
  <c r="L503" i="4"/>
  <c r="AE420" i="4"/>
  <c r="AE435" i="4"/>
  <c r="AE416" i="4"/>
  <c r="AE431" i="4"/>
  <c r="J505" i="4"/>
  <c r="G380" i="4"/>
  <c r="AE432" i="4"/>
  <c r="AE417" i="4"/>
  <c r="K504" i="4"/>
  <c r="N380" i="4"/>
  <c r="D406" i="4"/>
  <c r="L502" i="4"/>
  <c r="K503" i="4"/>
  <c r="AE439" i="4"/>
  <c r="AE424" i="4"/>
  <c r="P380" i="4"/>
  <c r="D207" i="4"/>
  <c r="J504" i="4"/>
  <c r="K380" i="4"/>
  <c r="AE437" i="4"/>
  <c r="AE422" i="4"/>
  <c r="D354" i="4"/>
  <c r="K505" i="4"/>
  <c r="H380" i="4"/>
  <c r="J502" i="4"/>
  <c r="D534" i="4"/>
  <c r="D19" i="4"/>
  <c r="D20" i="4" s="1"/>
  <c r="D235" i="4"/>
  <c r="D236" i="4" s="1"/>
  <c r="D140" i="4"/>
  <c r="AE434" i="4"/>
  <c r="AE419" i="4"/>
  <c r="A232" i="5" l="1"/>
  <c r="A233" i="5" s="1"/>
  <c r="A27" i="5"/>
  <c r="A28" i="5" s="1"/>
  <c r="A29" i="5" s="1"/>
  <c r="A32" i="5" s="1"/>
  <c r="L33" i="5"/>
  <c r="L34" i="5" s="1"/>
  <c r="L35" i="5" s="1"/>
  <c r="W42" i="5"/>
  <c r="W44" i="5" s="1"/>
  <c r="A73" i="5"/>
  <c r="A75" i="5" s="1"/>
  <c r="A78" i="5" s="1"/>
  <c r="A160" i="5"/>
  <c r="D237" i="4"/>
  <c r="D240" i="4" s="1"/>
  <c r="D241" i="4" s="1"/>
  <c r="D79" i="4"/>
  <c r="D80" i="4" s="1"/>
  <c r="D81" i="4" s="1"/>
  <c r="D292" i="4"/>
  <c r="D293" i="4" s="1"/>
  <c r="D21" i="4"/>
  <c r="D22" i="4" s="1"/>
  <c r="D23" i="4" s="1"/>
  <c r="AE427" i="4"/>
  <c r="AE428" i="4" s="1"/>
  <c r="D355" i="4"/>
  <c r="AE442" i="4"/>
  <c r="AE443" i="4" s="1"/>
  <c r="D536" i="4"/>
  <c r="D537" i="4" s="1"/>
  <c r="D141" i="4"/>
  <c r="D142" i="4" s="1"/>
  <c r="D208" i="4"/>
  <c r="D407" i="4"/>
  <c r="A234" i="5" l="1"/>
  <c r="A33" i="5"/>
  <c r="A34" i="5" s="1"/>
  <c r="A35" i="5" s="1"/>
  <c r="A79" i="5"/>
  <c r="A80" i="5" s="1"/>
  <c r="A161" i="5"/>
  <c r="A162" i="5" s="1"/>
  <c r="D82" i="4"/>
  <c r="D83" i="4" s="1"/>
  <c r="D84" i="4" s="1"/>
  <c r="L36" i="5"/>
  <c r="L38" i="5" s="1"/>
  <c r="L40" i="5" s="1"/>
  <c r="D294" i="4"/>
  <c r="D295" i="4" s="1"/>
  <c r="D356" i="4"/>
  <c r="D408" i="4"/>
  <c r="AH319" i="4"/>
  <c r="D24" i="4"/>
  <c r="D210" i="4"/>
  <c r="D212" i="4" s="1"/>
  <c r="D242" i="4"/>
  <c r="D243" i="4" s="1"/>
  <c r="D246" i="4" s="1"/>
  <c r="D538" i="4"/>
  <c r="D143" i="4"/>
  <c r="A36" i="5" l="1"/>
  <c r="A38" i="5" s="1"/>
  <c r="A40" i="5" s="1"/>
  <c r="A236" i="5"/>
  <c r="A237" i="5" s="1"/>
  <c r="D357" i="4"/>
  <c r="D358" i="4" s="1"/>
  <c r="D359" i="4" s="1"/>
  <c r="D360" i="4" s="1"/>
  <c r="A81" i="5"/>
  <c r="A83" i="5" s="1"/>
  <c r="D85" i="4"/>
  <c r="D86" i="4" s="1"/>
  <c r="D296" i="4"/>
  <c r="D297" i="4" s="1"/>
  <c r="D298" i="4" s="1"/>
  <c r="D299" i="4" s="1"/>
  <c r="AH231" i="4"/>
  <c r="D539" i="4"/>
  <c r="D144" i="4"/>
  <c r="D247" i="4"/>
  <c r="D248" i="4" s="1"/>
  <c r="D25" i="4"/>
  <c r="D214" i="4"/>
  <c r="D216" i="4" s="1"/>
  <c r="D218" i="4" s="1"/>
  <c r="AH320" i="4"/>
  <c r="D409" i="4"/>
  <c r="A82" i="5" l="1"/>
  <c r="D302" i="4"/>
  <c r="D303" i="4" s="1"/>
  <c r="D304" i="4" s="1"/>
  <c r="D361" i="4"/>
  <c r="D363" i="4" s="1"/>
  <c r="D366" i="4" s="1"/>
  <c r="D410" i="4"/>
  <c r="AH232" i="4"/>
  <c r="D26" i="4"/>
  <c r="D27" i="4" s="1"/>
  <c r="AH233" i="4" s="1"/>
  <c r="D87" i="4"/>
  <c r="D89" i="4" s="1"/>
  <c r="D145" i="4"/>
  <c r="D146" i="4" s="1"/>
  <c r="D250" i="4"/>
  <c r="D540" i="4"/>
  <c r="D542" i="4" s="1"/>
  <c r="D305" i="4" l="1"/>
  <c r="D306" i="4" s="1"/>
  <c r="A84" i="5"/>
  <c r="D28" i="4"/>
  <c r="AH235" i="4" s="1"/>
  <c r="D147" i="4"/>
  <c r="D367" i="4"/>
  <c r="D252" i="4"/>
  <c r="D256" i="4" s="1"/>
  <c r="AH268" i="4"/>
  <c r="D90" i="4"/>
  <c r="D91" i="4" s="1"/>
  <c r="D543" i="4"/>
  <c r="D545" i="4" s="1"/>
  <c r="AH234" i="4"/>
  <c r="D411" i="4"/>
  <c r="D412" i="4" s="1"/>
  <c r="D413" i="4" s="1"/>
  <c r="AE52" i="4" l="1"/>
  <c r="D307" i="4"/>
  <c r="D308" i="4" s="1"/>
  <c r="D309" i="4" s="1"/>
  <c r="A85" i="5"/>
  <c r="D29" i="4"/>
  <c r="D31" i="4" s="1"/>
  <c r="AH257" i="4"/>
  <c r="D547" i="4"/>
  <c r="D548" i="4" s="1"/>
  <c r="D257" i="4"/>
  <c r="D258" i="4" s="1"/>
  <c r="D259" i="4" s="1"/>
  <c r="D92" i="4"/>
  <c r="D93" i="4" s="1"/>
  <c r="D415" i="4"/>
  <c r="D368" i="4"/>
  <c r="AH267" i="4"/>
  <c r="D149" i="4"/>
  <c r="D310" i="4" l="1"/>
  <c r="D311" i="4" s="1"/>
  <c r="D312" i="4" s="1"/>
  <c r="AH236" i="4"/>
  <c r="A87" i="5"/>
  <c r="A88" i="5" s="1"/>
  <c r="D32" i="4"/>
  <c r="D33" i="4" s="1"/>
  <c r="AH240" i="4"/>
  <c r="AE32" i="4"/>
  <c r="AH256" i="4"/>
  <c r="D416" i="4"/>
  <c r="D417" i="4" s="1"/>
  <c r="D260" i="4"/>
  <c r="D261" i="4" s="1"/>
  <c r="D549" i="4"/>
  <c r="D550" i="4" s="1"/>
  <c r="D150" i="4"/>
  <c r="D151" i="4" s="1"/>
  <c r="D370" i="4"/>
  <c r="D94" i="4"/>
  <c r="D34" i="4" l="1"/>
  <c r="D35" i="4" s="1"/>
  <c r="D314" i="4"/>
  <c r="D316" i="4" s="1"/>
  <c r="D419" i="4"/>
  <c r="D420" i="4" s="1"/>
  <c r="D371" i="4"/>
  <c r="D152" i="4"/>
  <c r="D262" i="4"/>
  <c r="D263" i="4" s="1"/>
  <c r="D551" i="4"/>
  <c r="D95" i="4"/>
  <c r="D36" i="4" l="1"/>
  <c r="D317" i="4"/>
  <c r="D319" i="4" s="1"/>
  <c r="D265" i="4"/>
  <c r="D372" i="4"/>
  <c r="D373" i="4" s="1"/>
  <c r="D421" i="4"/>
  <c r="D552" i="4"/>
  <c r="D553" i="4" s="1"/>
  <c r="D554" i="4" s="1"/>
  <c r="D153" i="4"/>
  <c r="D154" i="4" s="1"/>
  <c r="D155" i="4" s="1"/>
  <c r="D96" i="4"/>
  <c r="D422" i="4" l="1"/>
  <c r="D423" i="4" s="1"/>
  <c r="D424" i="4" s="1"/>
  <c r="D374" i="4"/>
  <c r="D375" i="4" s="1"/>
  <c r="D156" i="4"/>
  <c r="D158" i="4" s="1"/>
  <c r="D37" i="4"/>
  <c r="D38" i="4" s="1"/>
  <c r="D320" i="4"/>
  <c r="D322" i="4" s="1"/>
  <c r="D98" i="4"/>
  <c r="D99" i="4" s="1"/>
  <c r="D266" i="4"/>
  <c r="D267" i="4" s="1"/>
  <c r="D268" i="4" s="1"/>
  <c r="AH258" i="4" l="1"/>
  <c r="AH242" i="4"/>
  <c r="AH241" i="4"/>
  <c r="D40" i="4"/>
  <c r="D159" i="4"/>
  <c r="D160" i="4" s="1"/>
  <c r="D425" i="4"/>
  <c r="D269" i="4"/>
  <c r="D270" i="4" s="1"/>
  <c r="D100" i="4"/>
  <c r="D376" i="4"/>
  <c r="D377" i="4" s="1"/>
  <c r="D378" i="4" l="1"/>
  <c r="D380" i="4" s="1"/>
  <c r="AH305" i="4"/>
  <c r="AH286" i="4"/>
  <c r="AH302" i="4"/>
  <c r="AH306" i="4"/>
  <c r="D41" i="4"/>
  <c r="D42" i="4" s="1"/>
  <c r="D426" i="4"/>
  <c r="D427" i="4" s="1"/>
  <c r="D161" i="4"/>
  <c r="D162" i="4" s="1"/>
  <c r="D101" i="4"/>
  <c r="D102" i="4" l="1"/>
  <c r="D103" i="4" s="1"/>
  <c r="D428" i="4"/>
  <c r="D43" i="4"/>
  <c r="D163" i="4"/>
  <c r="D164" i="4" s="1"/>
  <c r="D104" i="4" l="1"/>
  <c r="D105" i="4" s="1"/>
  <c r="D165" i="4"/>
  <c r="D44" i="4"/>
  <c r="D430" i="4"/>
  <c r="D106" i="4" l="1"/>
  <c r="D107" i="4" s="1"/>
  <c r="D166" i="4"/>
  <c r="D167" i="4" s="1"/>
  <c r="D431" i="4"/>
  <c r="D45" i="4"/>
  <c r="D46" i="4" l="1"/>
  <c r="D47" i="4" s="1"/>
  <c r="D108" i="4"/>
  <c r="D109" i="4" s="1"/>
  <c r="D168" i="4"/>
  <c r="D432" i="4"/>
  <c r="D434" i="4" l="1"/>
  <c r="D435" i="4" s="1"/>
  <c r="D169" i="4"/>
  <c r="D110" i="4"/>
  <c r="D48" i="4"/>
  <c r="D436" i="4" l="1"/>
  <c r="D437" i="4" s="1"/>
  <c r="D170" i="4"/>
  <c r="D171" i="4" s="1"/>
  <c r="D172" i="4" s="1"/>
  <c r="D111" i="4"/>
  <c r="D112" i="4" s="1"/>
  <c r="D49" i="4"/>
  <c r="D113" i="4" l="1"/>
  <c r="D114" i="4" s="1"/>
  <c r="D438" i="4"/>
  <c r="D439" i="4" s="1"/>
  <c r="D50" i="4"/>
  <c r="D173" i="4"/>
  <c r="D174" i="4" s="1"/>
  <c r="D115" i="4" l="1"/>
  <c r="D116" i="4" s="1"/>
  <c r="D175" i="4"/>
  <c r="D176" i="4" s="1"/>
  <c r="AH299" i="4" s="1"/>
  <c r="AH246" i="4"/>
  <c r="AH259" i="4"/>
  <c r="D51" i="4"/>
  <c r="D52" i="4" s="1"/>
  <c r="D440" i="4"/>
  <c r="AE195" i="4" l="1"/>
  <c r="AH316" i="4"/>
  <c r="D441" i="4"/>
  <c r="AH262" i="4"/>
  <c r="AH260" i="4"/>
  <c r="AH304" i="4"/>
  <c r="AE57" i="4"/>
  <c r="AE56" i="4"/>
  <c r="D53" i="4"/>
  <c r="D442" i="4"/>
  <c r="D443" i="4" l="1"/>
  <c r="D456" i="4" s="1"/>
  <c r="D457" i="4" s="1"/>
  <c r="D458" i="4" s="1"/>
  <c r="D54" i="4"/>
  <c r="AH263" i="4" s="1"/>
  <c r="D55" i="4" l="1"/>
  <c r="D56" i="4" s="1"/>
  <c r="D57" i="4" s="1"/>
  <c r="D58" i="4" s="1"/>
  <c r="D460" i="4"/>
  <c r="D461" i="4" s="1"/>
  <c r="AH261" i="4" l="1"/>
  <c r="AE203" i="4"/>
  <c r="D462" i="4"/>
  <c r="D463" i="4" l="1"/>
  <c r="D464" i="4" l="1"/>
  <c r="D465" i="4" s="1"/>
  <c r="D466" i="4" l="1"/>
  <c r="D467" i="4" l="1"/>
  <c r="D468" i="4" s="1"/>
  <c r="D469" i="4" l="1"/>
  <c r="D471" i="4" l="1"/>
  <c r="D472" i="4" l="1"/>
  <c r="R199" i="4" l="1"/>
  <c r="P199" i="4"/>
  <c r="O199" i="4"/>
  <c r="L199" i="4"/>
  <c r="N199" i="4"/>
  <c r="M199" i="4"/>
  <c r="K199" i="4"/>
  <c r="J199" i="4"/>
  <c r="V199" i="4"/>
  <c r="U199" i="4"/>
  <c r="T199" i="4"/>
  <c r="S199" i="4"/>
  <c r="Q199" i="4"/>
  <c r="I199" i="4"/>
  <c r="K200" i="4"/>
  <c r="J200" i="4"/>
  <c r="I200" i="4"/>
  <c r="U200" i="4"/>
  <c r="N200" i="4"/>
  <c r="M200" i="4"/>
  <c r="L200" i="4"/>
  <c r="S200" i="4"/>
  <c r="R200" i="4"/>
  <c r="V200" i="4"/>
  <c r="T200" i="4"/>
  <c r="P200" i="4"/>
  <c r="O200" i="4"/>
  <c r="Q200" i="4"/>
  <c r="S201" i="4"/>
  <c r="U201" i="4"/>
  <c r="T201" i="4"/>
  <c r="P201" i="4"/>
  <c r="L201" i="4"/>
  <c r="K201" i="4"/>
  <c r="J201" i="4"/>
  <c r="I201" i="4"/>
  <c r="R201" i="4"/>
  <c r="Q201" i="4"/>
  <c r="V201" i="4"/>
  <c r="O201" i="4"/>
  <c r="N201" i="4"/>
  <c r="M201" i="4"/>
  <c r="D473" i="4"/>
  <c r="D475" i="4" l="1"/>
  <c r="D476" i="4" s="1"/>
  <c r="Q361" i="4" l="1"/>
  <c r="Q363" i="4" s="1"/>
  <c r="O361" i="4"/>
  <c r="O363" i="4" s="1"/>
  <c r="M361" i="4"/>
  <c r="M363" i="4" s="1"/>
  <c r="U361" i="4"/>
  <c r="U363" i="4" s="1"/>
  <c r="D477" i="4"/>
  <c r="U368" i="4" l="1"/>
  <c r="U371" i="4"/>
  <c r="U367" i="4"/>
  <c r="U378" i="4"/>
  <c r="U370" i="4"/>
  <c r="U377" i="4"/>
  <c r="U376" i="4"/>
  <c r="U375" i="4"/>
  <c r="U374" i="4"/>
  <c r="U366" i="4"/>
  <c r="U373" i="4"/>
  <c r="U372" i="4"/>
  <c r="Q374" i="4"/>
  <c r="Q378" i="4"/>
  <c r="Q372" i="4"/>
  <c r="Q371" i="4"/>
  <c r="Q370" i="4"/>
  <c r="Q377" i="4"/>
  <c r="Q376" i="4"/>
  <c r="Q368" i="4"/>
  <c r="Q375" i="4"/>
  <c r="Q367" i="4"/>
  <c r="Q366" i="4"/>
  <c r="Q373" i="4"/>
  <c r="M378" i="4"/>
  <c r="M367" i="4"/>
  <c r="M377" i="4"/>
  <c r="M370" i="4"/>
  <c r="M366" i="4"/>
  <c r="M374" i="4"/>
  <c r="M373" i="4"/>
  <c r="M372" i="4"/>
  <c r="M371" i="4"/>
  <c r="M376" i="4"/>
  <c r="M368" i="4"/>
  <c r="M375" i="4"/>
  <c r="D478" i="4"/>
  <c r="O372" i="4"/>
  <c r="O368" i="4"/>
  <c r="O373" i="4"/>
  <c r="O371" i="4"/>
  <c r="O378" i="4"/>
  <c r="O370" i="4"/>
  <c r="O377" i="4"/>
  <c r="O376" i="4"/>
  <c r="O375" i="4"/>
  <c r="O367" i="4"/>
  <c r="O374" i="4"/>
  <c r="O366" i="4"/>
  <c r="H554" i="4"/>
  <c r="U380" i="4" l="1"/>
  <c r="D479" i="4"/>
  <c r="M380" i="4"/>
  <c r="O380" i="4"/>
  <c r="Q380" i="4"/>
  <c r="D480" i="4" l="1"/>
  <c r="D481" i="4" s="1"/>
  <c r="L156" i="4"/>
  <c r="H201" i="4" l="1"/>
  <c r="H200" i="4"/>
  <c r="J82" i="4"/>
  <c r="H199" i="4"/>
  <c r="L38" i="4"/>
  <c r="J24" i="4"/>
  <c r="J142" i="4"/>
  <c r="K154" i="4"/>
  <c r="K155" i="4" s="1"/>
  <c r="K156" i="4" s="1"/>
  <c r="K94" i="4"/>
  <c r="K95" i="4" s="1"/>
  <c r="K96" i="4" s="1"/>
  <c r="K36" i="4"/>
  <c r="K37" i="4" s="1"/>
  <c r="D482" i="4"/>
  <c r="D483" i="4" s="1"/>
  <c r="F172" i="4"/>
  <c r="L96" i="4"/>
  <c r="D484" i="4" l="1"/>
  <c r="D486" i="4" s="1"/>
  <c r="S528" i="4"/>
  <c r="T528" i="4" s="1"/>
  <c r="M553" i="4"/>
  <c r="M554" i="4" s="1"/>
  <c r="G201" i="4"/>
  <c r="G200" i="4"/>
  <c r="A200" i="4" s="1"/>
  <c r="G199" i="4"/>
  <c r="F243" i="4"/>
  <c r="S527" i="4"/>
  <c r="T527" i="4" s="1"/>
  <c r="S522" i="4"/>
  <c r="T522" i="4" s="1"/>
  <c r="I529" i="4"/>
  <c r="J529" i="4" s="1"/>
  <c r="P529" i="4" s="1"/>
  <c r="S525" i="4"/>
  <c r="T525" i="4" s="1"/>
  <c r="I87" i="4"/>
  <c r="J87" i="4"/>
  <c r="F24" i="4"/>
  <c r="F142" i="4"/>
  <c r="K38" i="4"/>
  <c r="J147" i="4"/>
  <c r="I147" i="4"/>
  <c r="O529" i="4"/>
  <c r="V234" i="4"/>
  <c r="U234" i="4"/>
  <c r="N234" i="4"/>
  <c r="R234" i="4"/>
  <c r="T234" i="4"/>
  <c r="S234" i="4"/>
  <c r="Q234" i="4"/>
  <c r="P234" i="4"/>
  <c r="O234" i="4"/>
  <c r="J29" i="4"/>
  <c r="M234" i="4"/>
  <c r="K234" i="4"/>
  <c r="L234" i="4"/>
  <c r="F54" i="4"/>
  <c r="F112" i="4"/>
  <c r="S529" i="4"/>
  <c r="T529" i="4" s="1"/>
  <c r="F82" i="4"/>
  <c r="V95" i="4"/>
  <c r="J155" i="4"/>
  <c r="J156" i="4" s="1"/>
  <c r="J95" i="4"/>
  <c r="V37" i="4"/>
  <c r="V155" i="4"/>
  <c r="J37" i="4"/>
  <c r="V156" i="4" l="1"/>
  <c r="V96" i="4"/>
  <c r="F237" i="4"/>
  <c r="J96" i="4"/>
  <c r="O522" i="4"/>
  <c r="I522" i="4"/>
  <c r="J522" i="4" s="1"/>
  <c r="P522" i="4" s="1"/>
  <c r="J38" i="4"/>
  <c r="G234" i="4"/>
  <c r="H234" i="4"/>
  <c r="J231" i="4"/>
  <c r="L553" i="4"/>
  <c r="L554" i="4" s="1"/>
  <c r="F98" i="4"/>
  <c r="K553" i="4"/>
  <c r="K554" i="4" s="1"/>
  <c r="S526" i="4"/>
  <c r="T526" i="4" s="1"/>
  <c r="S524" i="4"/>
  <c r="I524" i="4"/>
  <c r="O524" i="4"/>
  <c r="J234" i="4"/>
  <c r="O525" i="4"/>
  <c r="I525" i="4"/>
  <c r="J525" i="4" s="1"/>
  <c r="P525" i="4" s="1"/>
  <c r="V38" i="4"/>
  <c r="R361" i="4"/>
  <c r="R363" i="4" s="1"/>
  <c r="G530" i="4"/>
  <c r="G531" i="4" s="1"/>
  <c r="F173" i="4"/>
  <c r="O527" i="4"/>
  <c r="I527" i="4"/>
  <c r="J527" i="4" s="1"/>
  <c r="P527" i="4" s="1"/>
  <c r="I506" i="4"/>
  <c r="I234" i="4"/>
  <c r="I29" i="4"/>
  <c r="D487" i="4"/>
  <c r="D488" i="4" s="1"/>
  <c r="AE265" i="4"/>
  <c r="AE269" i="4" s="1"/>
  <c r="AE270" i="4" s="1"/>
  <c r="AE286" i="4" s="1"/>
  <c r="F113" i="4" l="1"/>
  <c r="F146" i="4"/>
  <c r="F55" i="4"/>
  <c r="F35" i="4"/>
  <c r="G538" i="4"/>
  <c r="G549" i="4" s="1"/>
  <c r="G541" i="4"/>
  <c r="G552" i="4" s="1"/>
  <c r="G536" i="4"/>
  <c r="G537" i="4"/>
  <c r="G548" i="4" s="1"/>
  <c r="G534" i="4"/>
  <c r="G539" i="4"/>
  <c r="G550" i="4" s="1"/>
  <c r="G540" i="4"/>
  <c r="G551" i="4" s="1"/>
  <c r="T524" i="4"/>
  <c r="T530" i="4" s="1"/>
  <c r="T531" i="4" s="1"/>
  <c r="S530" i="4"/>
  <c r="S531" i="4" s="1"/>
  <c r="AF361" i="4"/>
  <c r="AF363" i="4" s="1"/>
  <c r="F153" i="4"/>
  <c r="I526" i="4"/>
  <c r="J526" i="4" s="1"/>
  <c r="P526" i="4" s="1"/>
  <c r="O526" i="4"/>
  <c r="R374" i="4"/>
  <c r="R366" i="4"/>
  <c r="R373" i="4"/>
  <c r="R372" i="4"/>
  <c r="R371" i="4"/>
  <c r="R378" i="4"/>
  <c r="R370" i="4"/>
  <c r="R377" i="4"/>
  <c r="R376" i="4"/>
  <c r="R368" i="4"/>
  <c r="R375" i="4"/>
  <c r="R367" i="4"/>
  <c r="F40" i="4"/>
  <c r="I37" i="4"/>
  <c r="I155" i="4"/>
  <c r="D490" i="4"/>
  <c r="S361" i="4"/>
  <c r="S363" i="4" s="1"/>
  <c r="J524" i="4"/>
  <c r="H232" i="4"/>
  <c r="F158" i="4"/>
  <c r="H530" i="4"/>
  <c r="H531" i="4" s="1"/>
  <c r="F93" i="4"/>
  <c r="F83" i="4"/>
  <c r="I95" i="4"/>
  <c r="I528" i="4"/>
  <c r="J528" i="4" s="1"/>
  <c r="P528" i="4" s="1"/>
  <c r="O528" i="4"/>
  <c r="F28" i="4"/>
  <c r="H235" i="4" s="1"/>
  <c r="F86" i="4"/>
  <c r="Q530" i="4"/>
  <c r="Q531" i="4" s="1"/>
  <c r="AF266" i="4"/>
  <c r="AF269" i="4" s="1"/>
  <c r="AF270" i="4" s="1"/>
  <c r="AF286" i="4" s="1"/>
  <c r="R380" i="4" l="1"/>
  <c r="O530" i="4"/>
  <c r="O531" i="4" s="1"/>
  <c r="O540" i="4" s="1"/>
  <c r="T538" i="4"/>
  <c r="T534" i="4"/>
  <c r="T541" i="4"/>
  <c r="T536" i="4"/>
  <c r="T540" i="4"/>
  <c r="T539" i="4"/>
  <c r="T537" i="4"/>
  <c r="I156" i="4"/>
  <c r="I169" i="4" s="1"/>
  <c r="O235" i="4"/>
  <c r="M235" i="4"/>
  <c r="L235" i="4"/>
  <c r="S235" i="4"/>
  <c r="V235" i="4"/>
  <c r="U235" i="4"/>
  <c r="T235" i="4"/>
  <c r="Q235" i="4"/>
  <c r="R235" i="4"/>
  <c r="P235" i="4"/>
  <c r="N235" i="4"/>
  <c r="K235" i="4"/>
  <c r="I235" i="4"/>
  <c r="J235" i="4"/>
  <c r="V257" i="4"/>
  <c r="N257" i="4"/>
  <c r="M257" i="4"/>
  <c r="U257" i="4"/>
  <c r="T257" i="4"/>
  <c r="R257" i="4"/>
  <c r="S257" i="4"/>
  <c r="L257" i="4"/>
  <c r="Q257" i="4"/>
  <c r="P257" i="4"/>
  <c r="I257" i="4"/>
  <c r="O257" i="4"/>
  <c r="K257" i="4"/>
  <c r="F29" i="4"/>
  <c r="J257" i="4"/>
  <c r="G235" i="4"/>
  <c r="D491" i="4"/>
  <c r="D492" i="4" s="1"/>
  <c r="D493" i="4" s="1"/>
  <c r="AF375" i="4"/>
  <c r="AF376" i="4"/>
  <c r="AF368" i="4"/>
  <c r="AF367" i="4"/>
  <c r="AF374" i="4"/>
  <c r="AF366" i="4"/>
  <c r="AF373" i="4"/>
  <c r="AF372" i="4"/>
  <c r="AF371" i="4"/>
  <c r="AF378" i="4"/>
  <c r="AF370" i="4"/>
  <c r="AF377" i="4"/>
  <c r="Q534" i="4"/>
  <c r="Q539" i="4"/>
  <c r="Q541" i="4"/>
  <c r="Q536" i="4"/>
  <c r="Q538" i="4"/>
  <c r="Q537" i="4"/>
  <c r="Q540" i="4"/>
  <c r="H538" i="4"/>
  <c r="H541" i="4"/>
  <c r="H536" i="4"/>
  <c r="H537" i="4"/>
  <c r="H534" i="4"/>
  <c r="H539" i="4"/>
  <c r="H540" i="4"/>
  <c r="G232" i="4"/>
  <c r="G257" i="4"/>
  <c r="N528" i="4"/>
  <c r="H257" i="4"/>
  <c r="I96" i="4"/>
  <c r="I109" i="4" s="1"/>
  <c r="N527" i="4"/>
  <c r="I38" i="4"/>
  <c r="J530" i="4"/>
  <c r="J531" i="4" s="1"/>
  <c r="P524" i="4"/>
  <c r="P530" i="4" s="1"/>
  <c r="P531" i="4" s="1"/>
  <c r="I530" i="4"/>
  <c r="I531" i="4" s="1"/>
  <c r="G553" i="4"/>
  <c r="N525" i="4"/>
  <c r="S366" i="4"/>
  <c r="S376" i="4"/>
  <c r="S372" i="4"/>
  <c r="S371" i="4"/>
  <c r="S378" i="4"/>
  <c r="S370" i="4"/>
  <c r="S377" i="4"/>
  <c r="S368" i="4"/>
  <c r="S375" i="4"/>
  <c r="S367" i="4"/>
  <c r="S374" i="4"/>
  <c r="S373" i="4"/>
  <c r="A205" i="4"/>
  <c r="F143" i="4"/>
  <c r="F147" i="4" s="1"/>
  <c r="G542" i="4"/>
  <c r="G543" i="4" s="1"/>
  <c r="N529" i="4"/>
  <c r="F87" i="4"/>
  <c r="S539" i="4"/>
  <c r="S537" i="4"/>
  <c r="S536" i="4"/>
  <c r="S540" i="4"/>
  <c r="S538" i="4"/>
  <c r="S541" i="4"/>
  <c r="S534" i="4"/>
  <c r="N526" i="4"/>
  <c r="O541" i="4" l="1"/>
  <c r="O537" i="4"/>
  <c r="O539" i="4"/>
  <c r="O536" i="4"/>
  <c r="O538" i="4"/>
  <c r="O534" i="4"/>
  <c r="Q542" i="4"/>
  <c r="Q543" i="4" s="1"/>
  <c r="N530" i="4"/>
  <c r="N531" i="4" s="1"/>
  <c r="N537" i="4" s="1"/>
  <c r="AF380" i="4"/>
  <c r="AF425" i="4"/>
  <c r="AF440" i="4"/>
  <c r="S542" i="4"/>
  <c r="S543" i="4" s="1"/>
  <c r="AF424" i="4"/>
  <c r="AF439" i="4"/>
  <c r="K256" i="4"/>
  <c r="I256" i="4"/>
  <c r="U236" i="4"/>
  <c r="U237" i="4" s="1"/>
  <c r="V256" i="4"/>
  <c r="T236" i="4"/>
  <c r="T237" i="4" s="1"/>
  <c r="O256" i="4"/>
  <c r="M236" i="4"/>
  <c r="M237" i="4" s="1"/>
  <c r="R256" i="4"/>
  <c r="M256" i="4"/>
  <c r="V236" i="4"/>
  <c r="V237" i="4" s="1"/>
  <c r="L256" i="4"/>
  <c r="S236" i="4"/>
  <c r="S237" i="4" s="1"/>
  <c r="J256" i="4"/>
  <c r="R236" i="4"/>
  <c r="R237" i="4" s="1"/>
  <c r="P236" i="4"/>
  <c r="P237" i="4" s="1"/>
  <c r="U256" i="4"/>
  <c r="T256" i="4"/>
  <c r="S256" i="4"/>
  <c r="Q256" i="4"/>
  <c r="P256" i="4"/>
  <c r="Q236" i="4"/>
  <c r="Q237" i="4" s="1"/>
  <c r="K236" i="4"/>
  <c r="K237" i="4" s="1"/>
  <c r="O236" i="4"/>
  <c r="O237" i="4" s="1"/>
  <c r="N256" i="4"/>
  <c r="N236" i="4"/>
  <c r="N237" i="4" s="1"/>
  <c r="L236" i="4"/>
  <c r="L237" i="4" s="1"/>
  <c r="J236" i="4"/>
  <c r="J237" i="4" s="1"/>
  <c r="I236" i="4"/>
  <c r="I237" i="4" s="1"/>
  <c r="AF441" i="4"/>
  <c r="AF426" i="4"/>
  <c r="AF434" i="4"/>
  <c r="AF419" i="4"/>
  <c r="I537" i="4"/>
  <c r="I538" i="4"/>
  <c r="I541" i="4"/>
  <c r="I534" i="4"/>
  <c r="I539" i="4"/>
  <c r="I540" i="4"/>
  <c r="I536" i="4"/>
  <c r="AF420" i="4"/>
  <c r="AF435" i="4"/>
  <c r="H542" i="4"/>
  <c r="H543" i="4" s="1"/>
  <c r="AF436" i="4"/>
  <c r="AF421" i="4"/>
  <c r="AF437" i="4"/>
  <c r="AF422" i="4"/>
  <c r="D494" i="4"/>
  <c r="P540" i="4"/>
  <c r="P534" i="4"/>
  <c r="P538" i="4"/>
  <c r="P537" i="4"/>
  <c r="P539" i="4"/>
  <c r="P541" i="4"/>
  <c r="P536" i="4"/>
  <c r="AF430" i="4"/>
  <c r="AF415" i="4"/>
  <c r="J537" i="4"/>
  <c r="J540" i="4"/>
  <c r="J538" i="4"/>
  <c r="J539" i="4"/>
  <c r="J534" i="4"/>
  <c r="J541" i="4"/>
  <c r="J536" i="4"/>
  <c r="AF423" i="4"/>
  <c r="AF438" i="4"/>
  <c r="AF431" i="4"/>
  <c r="AF416" i="4"/>
  <c r="S380" i="4"/>
  <c r="I51" i="4"/>
  <c r="AF432" i="4"/>
  <c r="AF417" i="4"/>
  <c r="T542" i="4"/>
  <c r="T543" i="4" s="1"/>
  <c r="O542" i="4" l="1"/>
  <c r="O543" i="4" s="1"/>
  <c r="N540" i="4"/>
  <c r="N536" i="4"/>
  <c r="N541" i="4"/>
  <c r="N538" i="4"/>
  <c r="N539" i="4"/>
  <c r="P542" i="4"/>
  <c r="P543" i="4" s="1"/>
  <c r="N534" i="4"/>
  <c r="J542" i="4"/>
  <c r="J543" i="4" s="1"/>
  <c r="I542" i="4"/>
  <c r="I543" i="4" s="1"/>
  <c r="AF427" i="4"/>
  <c r="AF428" i="4" s="1"/>
  <c r="AF442" i="4"/>
  <c r="AF443" i="4" s="1"/>
  <c r="D495" i="4"/>
  <c r="D496" i="4" s="1"/>
  <c r="S311" i="4"/>
  <c r="S578" i="4"/>
  <c r="S592" i="4"/>
  <c r="N542" i="4" l="1"/>
  <c r="N543" i="4" s="1"/>
  <c r="F50" i="4"/>
  <c r="N108" i="4"/>
  <c r="N109" i="4" s="1"/>
  <c r="M108" i="4"/>
  <c r="M109" i="4" s="1"/>
  <c r="L108" i="4"/>
  <c r="L109" i="4" s="1"/>
  <c r="K108" i="4"/>
  <c r="K109" i="4" s="1"/>
  <c r="J108" i="4"/>
  <c r="J109" i="4" s="1"/>
  <c r="H108" i="4"/>
  <c r="V108" i="4"/>
  <c r="V109" i="4" s="1"/>
  <c r="G108" i="4"/>
  <c r="T108" i="4"/>
  <c r="T109" i="4" s="1"/>
  <c r="R108" i="4"/>
  <c r="R109" i="4" s="1"/>
  <c r="Q108" i="4"/>
  <c r="Q109" i="4" s="1"/>
  <c r="P108" i="4"/>
  <c r="P109" i="4" s="1"/>
  <c r="O108" i="4"/>
  <c r="O109" i="4" s="1"/>
  <c r="U108" i="4"/>
  <c r="U109" i="4" s="1"/>
  <c r="S108" i="4"/>
  <c r="S109" i="4" s="1"/>
  <c r="F108" i="4"/>
  <c r="G585" i="4"/>
  <c r="I585" i="4"/>
  <c r="J585" i="4"/>
  <c r="H585" i="4"/>
  <c r="T168" i="4"/>
  <c r="T169" i="4" s="1"/>
  <c r="O168" i="4"/>
  <c r="O169" i="4" s="1"/>
  <c r="L168" i="4"/>
  <c r="L169" i="4" s="1"/>
  <c r="U168" i="4"/>
  <c r="U169" i="4" s="1"/>
  <c r="S168" i="4"/>
  <c r="S169" i="4" s="1"/>
  <c r="V168" i="4"/>
  <c r="V169" i="4" s="1"/>
  <c r="R168" i="4"/>
  <c r="R169" i="4" s="1"/>
  <c r="Q168" i="4"/>
  <c r="Q169" i="4" s="1"/>
  <c r="P168" i="4"/>
  <c r="P169" i="4" s="1"/>
  <c r="N168" i="4"/>
  <c r="N169" i="4" s="1"/>
  <c r="M168" i="4"/>
  <c r="M169" i="4" s="1"/>
  <c r="J168" i="4"/>
  <c r="J169" i="4" s="1"/>
  <c r="H168" i="4"/>
  <c r="K168" i="4"/>
  <c r="K169" i="4" s="1"/>
  <c r="G168" i="4"/>
  <c r="F168" i="4"/>
  <c r="I583" i="4"/>
  <c r="J583" i="4"/>
  <c r="D497" i="4"/>
  <c r="F594" i="4"/>
  <c r="I586" i="4"/>
  <c r="G586" i="4"/>
  <c r="J586" i="4"/>
  <c r="H586" i="4"/>
  <c r="F248" i="4"/>
  <c r="J587" i="4"/>
  <c r="I587" i="4"/>
  <c r="I584" i="4"/>
  <c r="H584" i="4"/>
  <c r="G584" i="4"/>
  <c r="I577" i="4"/>
  <c r="U579" i="4"/>
  <c r="A168" i="4" l="1"/>
  <c r="N50" i="4"/>
  <c r="N51" i="4" s="1"/>
  <c r="H571" i="4"/>
  <c r="I571" i="4"/>
  <c r="J571" i="4"/>
  <c r="G571" i="4"/>
  <c r="F580" i="4"/>
  <c r="I569" i="4"/>
  <c r="J569" i="4"/>
  <c r="O50" i="4"/>
  <c r="O51" i="4" s="1"/>
  <c r="K50" i="4"/>
  <c r="K51" i="4" s="1"/>
  <c r="I572" i="4"/>
  <c r="G572" i="4"/>
  <c r="J572" i="4"/>
  <c r="H572" i="4"/>
  <c r="I570" i="4"/>
  <c r="H570" i="4"/>
  <c r="G570" i="4"/>
  <c r="P50" i="4"/>
  <c r="P51" i="4" s="1"/>
  <c r="Q50" i="4"/>
  <c r="Q51" i="4" s="1"/>
  <c r="R50" i="4"/>
  <c r="R51" i="4" s="1"/>
  <c r="A108" i="4"/>
  <c r="J50" i="4"/>
  <c r="J51" i="4" s="1"/>
  <c r="L50" i="4"/>
  <c r="L51" i="4" s="1"/>
  <c r="I259" i="4"/>
  <c r="S50" i="4"/>
  <c r="S51" i="4" s="1"/>
  <c r="U50" i="4"/>
  <c r="U51" i="4" s="1"/>
  <c r="T50" i="4"/>
  <c r="T51" i="4" s="1"/>
  <c r="D498" i="4"/>
  <c r="D499" i="4" s="1"/>
  <c r="V50" i="4"/>
  <c r="V51" i="4" s="1"/>
  <c r="G50" i="4"/>
  <c r="G596" i="4" s="1"/>
  <c r="I596" i="4"/>
  <c r="I246" i="4" s="1"/>
  <c r="I248" i="4" s="1"/>
  <c r="J573" i="4"/>
  <c r="I573" i="4"/>
  <c r="F250" i="4"/>
  <c r="H50" i="4"/>
  <c r="I591" i="4"/>
  <c r="M50" i="4"/>
  <c r="M51" i="4" s="1"/>
  <c r="O596" i="4" l="1"/>
  <c r="O246" i="4" s="1"/>
  <c r="O248" i="4" s="1"/>
  <c r="O591" i="4"/>
  <c r="O577" i="4"/>
  <c r="O259" i="4"/>
  <c r="G591" i="4"/>
  <c r="G577" i="4"/>
  <c r="N259" i="4"/>
  <c r="T577" i="4"/>
  <c r="U577" i="4"/>
  <c r="Q259" i="4"/>
  <c r="T259" i="4"/>
  <c r="V591" i="4"/>
  <c r="V259" i="4"/>
  <c r="K259" i="4"/>
  <c r="J577" i="4"/>
  <c r="K591" i="4"/>
  <c r="S596" i="4"/>
  <c r="S246" i="4" s="1"/>
  <c r="S248" i="4" s="1"/>
  <c r="K577" i="4"/>
  <c r="N596" i="4"/>
  <c r="N246" i="4" s="1"/>
  <c r="N248" i="4" s="1"/>
  <c r="S577" i="4"/>
  <c r="K596" i="4"/>
  <c r="K246" i="4" s="1"/>
  <c r="K248" i="4" s="1"/>
  <c r="S591" i="4"/>
  <c r="M259" i="4"/>
  <c r="H577" i="4"/>
  <c r="R596" i="4"/>
  <c r="R246" i="4" s="1"/>
  <c r="R248" i="4" s="1"/>
  <c r="H596" i="4"/>
  <c r="H246" i="4" s="1"/>
  <c r="H248" i="4" s="1"/>
  <c r="P259" i="4"/>
  <c r="R577" i="4"/>
  <c r="H591" i="4"/>
  <c r="R591" i="4"/>
  <c r="N591" i="4"/>
  <c r="G246" i="4"/>
  <c r="G248" i="4" s="1"/>
  <c r="M591" i="4"/>
  <c r="J596" i="4"/>
  <c r="J246" i="4" s="1"/>
  <c r="J248" i="4" s="1"/>
  <c r="P577" i="4"/>
  <c r="N577" i="4"/>
  <c r="M577" i="4"/>
  <c r="H259" i="4"/>
  <c r="L591" i="4"/>
  <c r="J591" i="4"/>
  <c r="P591" i="4"/>
  <c r="M596" i="4"/>
  <c r="M246" i="4" s="1"/>
  <c r="M248" i="4" s="1"/>
  <c r="L577" i="4"/>
  <c r="P596" i="4"/>
  <c r="P246" i="4" s="1"/>
  <c r="P248" i="4" s="1"/>
  <c r="T591" i="4"/>
  <c r="L596" i="4"/>
  <c r="L246" i="4" s="1"/>
  <c r="L248" i="4" s="1"/>
  <c r="T596" i="4"/>
  <c r="T246" i="4" s="1"/>
  <c r="T248" i="4" s="1"/>
  <c r="A50" i="4"/>
  <c r="R259" i="4"/>
  <c r="Q577" i="4"/>
  <c r="S259" i="4"/>
  <c r="Q591" i="4"/>
  <c r="V596" i="4"/>
  <c r="V246" i="4" s="1"/>
  <c r="V248" i="4" s="1"/>
  <c r="U591" i="4"/>
  <c r="J259" i="4"/>
  <c r="G259" i="4"/>
  <c r="Q596" i="4"/>
  <c r="Q246" i="4" s="1"/>
  <c r="Q248" i="4" s="1"/>
  <c r="V577" i="4"/>
  <c r="U596" i="4"/>
  <c r="U246" i="4" s="1"/>
  <c r="U248" i="4" s="1"/>
  <c r="L259" i="4"/>
  <c r="U259" i="4"/>
  <c r="A248" i="4" l="1"/>
  <c r="A596" i="4"/>
  <c r="F596" i="4"/>
  <c r="J554" i="4" l="1"/>
  <c r="V243" i="4"/>
  <c r="V250" i="4" s="1"/>
  <c r="V564" i="4" l="1"/>
  <c r="V563" i="4"/>
  <c r="V110" i="4" l="1"/>
  <c r="V170" i="4"/>
  <c r="V52" i="4"/>
  <c r="Z36" i="5" l="1"/>
  <c r="Z44" i="5" s="1"/>
  <c r="F292" i="4" l="1"/>
  <c r="F295" i="4"/>
  <c r="F298" i="4"/>
  <c r="F293" i="4"/>
  <c r="AB36" i="5"/>
  <c r="AB44" i="5" s="1"/>
  <c r="H82" i="4" l="1"/>
  <c r="H87" i="4" s="1"/>
  <c r="H95" i="4" s="1"/>
  <c r="H96" i="4" s="1"/>
  <c r="H109" i="4" s="1"/>
  <c r="H142" i="4"/>
  <c r="H147" i="4" s="1"/>
  <c r="H155" i="4" s="1"/>
  <c r="H156" i="4" s="1"/>
  <c r="H169" i="4" s="1"/>
  <c r="H24" i="4"/>
  <c r="F33" i="4"/>
  <c r="F91" i="4"/>
  <c r="F149" i="4"/>
  <c r="F151" i="4"/>
  <c r="F296" i="4"/>
  <c r="AC20" i="5"/>
  <c r="AB20" i="5" l="1"/>
  <c r="Z23" i="5"/>
  <c r="AA44" i="5" s="1"/>
  <c r="AA23" i="5"/>
  <c r="AC44" i="5" s="1"/>
  <c r="AC22" i="5"/>
  <c r="AB22" i="5"/>
  <c r="H506" i="4"/>
  <c r="G82" i="4"/>
  <c r="A82" i="4" s="1"/>
  <c r="G142" i="4"/>
  <c r="F503" i="4"/>
  <c r="F505" i="4"/>
  <c r="F504" i="4"/>
  <c r="F297" i="4"/>
  <c r="F89" i="4"/>
  <c r="G24" i="4"/>
  <c r="G303" i="4"/>
  <c r="F294" i="4"/>
  <c r="H303" i="4"/>
  <c r="F31" i="4"/>
  <c r="G240" i="4" s="1"/>
  <c r="H583" i="4"/>
  <c r="H569" i="4"/>
  <c r="H231" i="4"/>
  <c r="H29" i="4"/>
  <c r="AC19" i="5"/>
  <c r="AB21" i="5"/>
  <c r="G87" i="4" l="1"/>
  <c r="G588" i="4"/>
  <c r="AC21" i="5"/>
  <c r="Y23" i="5"/>
  <c r="AC34" i="5"/>
  <c r="AC38" i="5"/>
  <c r="AC35" i="5"/>
  <c r="AA35" i="5"/>
  <c r="AA34" i="5"/>
  <c r="AA38" i="5"/>
  <c r="AB19" i="5"/>
  <c r="H587" i="4"/>
  <c r="H573" i="4"/>
  <c r="H236" i="4"/>
  <c r="H237" i="4" s="1"/>
  <c r="H37" i="4"/>
  <c r="H256" i="4"/>
  <c r="G583" i="4"/>
  <c r="G569" i="4"/>
  <c r="G231" i="4"/>
  <c r="G29" i="4"/>
  <c r="A24" i="4"/>
  <c r="G506" i="4"/>
  <c r="F502" i="4"/>
  <c r="S588" i="4"/>
  <c r="U574" i="4"/>
  <c r="R588" i="4"/>
  <c r="T574" i="4"/>
  <c r="Q588" i="4"/>
  <c r="S574" i="4"/>
  <c r="M588" i="4"/>
  <c r="O574" i="4"/>
  <c r="U588" i="4"/>
  <c r="P574" i="4"/>
  <c r="R574" i="4"/>
  <c r="Q574" i="4"/>
  <c r="P588" i="4"/>
  <c r="K574" i="4"/>
  <c r="N588" i="4"/>
  <c r="K588" i="4"/>
  <c r="T588" i="4"/>
  <c r="O588" i="4"/>
  <c r="N574" i="4"/>
  <c r="M574" i="4"/>
  <c r="L588" i="4"/>
  <c r="L574" i="4"/>
  <c r="P240" i="4"/>
  <c r="O240" i="4"/>
  <c r="T240" i="4"/>
  <c r="N240" i="4"/>
  <c r="R240" i="4"/>
  <c r="U240" i="4"/>
  <c r="Q240" i="4"/>
  <c r="J240" i="4"/>
  <c r="M240" i="4"/>
  <c r="L240" i="4"/>
  <c r="K240" i="4"/>
  <c r="J588" i="4"/>
  <c r="J574" i="4"/>
  <c r="S240" i="4"/>
  <c r="V588" i="4"/>
  <c r="V574" i="4"/>
  <c r="I588" i="4"/>
  <c r="I574" i="4"/>
  <c r="H574" i="4"/>
  <c r="H588" i="4"/>
  <c r="H240" i="4"/>
  <c r="G147" i="4"/>
  <c r="A142" i="4"/>
  <c r="G574" i="4"/>
  <c r="A87" i="4"/>
  <c r="F506" i="4" l="1"/>
  <c r="Y38" i="5"/>
  <c r="Y35" i="5"/>
  <c r="AC36" i="5"/>
  <c r="Y34" i="5"/>
  <c r="AA36" i="5"/>
  <c r="Q22" i="5"/>
  <c r="M42" i="5"/>
  <c r="G587" i="4"/>
  <c r="G573" i="4"/>
  <c r="G236" i="4"/>
  <c r="G237" i="4" s="1"/>
  <c r="A237" i="4" s="1"/>
  <c r="G256" i="4"/>
  <c r="A29" i="4"/>
  <c r="G95" i="4"/>
  <c r="G96" i="4" s="1"/>
  <c r="G109" i="4" s="1"/>
  <c r="F90" i="4"/>
  <c r="F95" i="4" s="1"/>
  <c r="A147" i="4"/>
  <c r="H38" i="4"/>
  <c r="O23" i="5"/>
  <c r="O40" i="5" s="1"/>
  <c r="Y36" i="5" l="1"/>
  <c r="Y44" i="5" s="1"/>
  <c r="AD34" i="5" s="1"/>
  <c r="G37" i="4"/>
  <c r="F32" i="4"/>
  <c r="F37" i="4" s="1"/>
  <c r="H51" i="4"/>
  <c r="A95" i="4"/>
  <c r="F96" i="4"/>
  <c r="G114" i="4"/>
  <c r="G111" i="4"/>
  <c r="I111" i="4"/>
  <c r="I114" i="4"/>
  <c r="K114" i="4"/>
  <c r="S114" i="4"/>
  <c r="S111" i="4"/>
  <c r="N114" i="4"/>
  <c r="J114" i="4"/>
  <c r="N111" i="4"/>
  <c r="T114" i="4"/>
  <c r="J111" i="4"/>
  <c r="M114" i="4"/>
  <c r="T111" i="4"/>
  <c r="M111" i="4"/>
  <c r="Q114" i="4"/>
  <c r="L114" i="4"/>
  <c r="Q111" i="4"/>
  <c r="R114" i="4"/>
  <c r="V114" i="4"/>
  <c r="L111" i="4"/>
  <c r="R111" i="4"/>
  <c r="V111" i="4"/>
  <c r="O114" i="4"/>
  <c r="P114" i="4"/>
  <c r="U114" i="4"/>
  <c r="O111" i="4"/>
  <c r="P111" i="4"/>
  <c r="K111" i="4"/>
  <c r="U111" i="4"/>
  <c r="H114" i="4"/>
  <c r="H111" i="4"/>
  <c r="F150" i="4"/>
  <c r="F155" i="4" s="1"/>
  <c r="G155" i="4"/>
  <c r="G156" i="4" s="1"/>
  <c r="G169" i="4" s="1"/>
  <c r="AD38" i="5" l="1"/>
  <c r="AD35" i="5"/>
  <c r="AD36" i="5" s="1"/>
  <c r="A96" i="4"/>
  <c r="F109" i="4"/>
  <c r="A37" i="4"/>
  <c r="N589" i="4"/>
  <c r="P575" i="4"/>
  <c r="S589" i="4"/>
  <c r="O589" i="4"/>
  <c r="M589" i="4"/>
  <c r="N575" i="4"/>
  <c r="L589" i="4"/>
  <c r="Q589" i="4"/>
  <c r="T575" i="4"/>
  <c r="S575" i="4"/>
  <c r="O575" i="4"/>
  <c r="M575" i="4"/>
  <c r="Q575" i="4"/>
  <c r="R575" i="4"/>
  <c r="T589" i="4"/>
  <c r="U575" i="4"/>
  <c r="L575" i="4"/>
  <c r="R589" i="4"/>
  <c r="U589" i="4"/>
  <c r="P589" i="4"/>
  <c r="K589" i="4"/>
  <c r="K575" i="4"/>
  <c r="V589" i="4"/>
  <c r="V575" i="4"/>
  <c r="J589" i="4"/>
  <c r="J575" i="4"/>
  <c r="I575" i="4"/>
  <c r="I589" i="4"/>
  <c r="F38" i="4"/>
  <c r="H575" i="4"/>
  <c r="H589" i="4"/>
  <c r="G171" i="4"/>
  <c r="I171" i="4"/>
  <c r="N171" i="4"/>
  <c r="K171" i="4"/>
  <c r="L171" i="4"/>
  <c r="S171" i="4"/>
  <c r="O171" i="4"/>
  <c r="M171" i="4"/>
  <c r="U171" i="4"/>
  <c r="T171" i="4"/>
  <c r="R171" i="4"/>
  <c r="V171" i="4"/>
  <c r="Q171" i="4"/>
  <c r="J171" i="4"/>
  <c r="P171" i="4"/>
  <c r="H171" i="4"/>
  <c r="G575" i="4"/>
  <c r="G589" i="4"/>
  <c r="N241" i="4"/>
  <c r="S241" i="4"/>
  <c r="L241" i="4"/>
  <c r="K241" i="4"/>
  <c r="R241" i="4"/>
  <c r="M241" i="4"/>
  <c r="G241" i="4"/>
  <c r="Q241" i="4"/>
  <c r="P241" i="4"/>
  <c r="O241" i="4"/>
  <c r="U241" i="4"/>
  <c r="T241" i="4"/>
  <c r="J241" i="4"/>
  <c r="G38" i="4"/>
  <c r="H241" i="4"/>
  <c r="F156" i="4"/>
  <c r="A155" i="4"/>
  <c r="AD44" i="5" l="1"/>
  <c r="A38" i="4"/>
  <c r="S576" i="4"/>
  <c r="S580" i="4" s="1"/>
  <c r="Q590" i="4"/>
  <c r="Q594" i="4" s="1"/>
  <c r="Q576" i="4"/>
  <c r="Q580" i="4" s="1"/>
  <c r="M590" i="4"/>
  <c r="M594" i="4" s="1"/>
  <c r="P576" i="4"/>
  <c r="P580" i="4" s="1"/>
  <c r="M576" i="4"/>
  <c r="M580" i="4" s="1"/>
  <c r="T590" i="4"/>
  <c r="T594" i="4" s="1"/>
  <c r="T576" i="4"/>
  <c r="T580" i="4" s="1"/>
  <c r="S590" i="4"/>
  <c r="S594" i="4" s="1"/>
  <c r="P590" i="4"/>
  <c r="P594" i="4" s="1"/>
  <c r="N590" i="4"/>
  <c r="N594" i="4" s="1"/>
  <c r="U590" i="4"/>
  <c r="U594" i="4" s="1"/>
  <c r="N576" i="4"/>
  <c r="N580" i="4" s="1"/>
  <c r="U576" i="4"/>
  <c r="U580" i="4" s="1"/>
  <c r="R590" i="4"/>
  <c r="R594" i="4" s="1"/>
  <c r="R576" i="4"/>
  <c r="R580" i="4" s="1"/>
  <c r="O576" i="4"/>
  <c r="O580" i="4" s="1"/>
  <c r="O590" i="4"/>
  <c r="O594" i="4" s="1"/>
  <c r="Q242" i="4"/>
  <c r="Q243" i="4" s="1"/>
  <c r="Q250" i="4" s="1"/>
  <c r="P242" i="4"/>
  <c r="P243" i="4" s="1"/>
  <c r="P250" i="4" s="1"/>
  <c r="O242" i="4"/>
  <c r="O243" i="4" s="1"/>
  <c r="O250" i="4" s="1"/>
  <c r="N242" i="4"/>
  <c r="N243" i="4" s="1"/>
  <c r="N250" i="4" s="1"/>
  <c r="T242" i="4"/>
  <c r="T243" i="4" s="1"/>
  <c r="T250" i="4" s="1"/>
  <c r="S242" i="4"/>
  <c r="S243" i="4" s="1"/>
  <c r="S250" i="4" s="1"/>
  <c r="L242" i="4"/>
  <c r="L243" i="4" s="1"/>
  <c r="L250" i="4" s="1"/>
  <c r="M242" i="4"/>
  <c r="M243" i="4" s="1"/>
  <c r="M250" i="4" s="1"/>
  <c r="L590" i="4"/>
  <c r="L594" i="4" s="1"/>
  <c r="U242" i="4"/>
  <c r="U243" i="4" s="1"/>
  <c r="U250" i="4" s="1"/>
  <c r="L576" i="4"/>
  <c r="L580" i="4" s="1"/>
  <c r="R242" i="4"/>
  <c r="R243" i="4" s="1"/>
  <c r="R250" i="4" s="1"/>
  <c r="K590" i="4"/>
  <c r="K594" i="4" s="1"/>
  <c r="K576" i="4"/>
  <c r="K580" i="4" s="1"/>
  <c r="J590" i="4"/>
  <c r="J594" i="4" s="1"/>
  <c r="V576" i="4"/>
  <c r="V580" i="4" s="1"/>
  <c r="V590" i="4"/>
  <c r="V594" i="4" s="1"/>
  <c r="J576" i="4"/>
  <c r="J580" i="4" s="1"/>
  <c r="I576" i="4"/>
  <c r="I580" i="4" s="1"/>
  <c r="I590" i="4"/>
  <c r="I594" i="4" s="1"/>
  <c r="F51" i="4"/>
  <c r="I243" i="4"/>
  <c r="I250" i="4" s="1"/>
  <c r="K242" i="4"/>
  <c r="K243" i="4" s="1"/>
  <c r="K250" i="4" s="1"/>
  <c r="J242" i="4"/>
  <c r="J243" i="4" s="1"/>
  <c r="J250" i="4" s="1"/>
  <c r="H576" i="4"/>
  <c r="H580" i="4" s="1"/>
  <c r="H590" i="4"/>
  <c r="H594" i="4" s="1"/>
  <c r="H242" i="4"/>
  <c r="H243" i="4" s="1"/>
  <c r="H250" i="4" s="1"/>
  <c r="A156" i="4"/>
  <c r="F169" i="4"/>
  <c r="G590" i="4"/>
  <c r="G594" i="4" s="1"/>
  <c r="G576" i="4"/>
  <c r="G580" i="4" s="1"/>
  <c r="G51" i="4"/>
  <c r="G242" i="4"/>
  <c r="G243" i="4" s="1"/>
  <c r="A109" i="4"/>
  <c r="A594" i="4" l="1"/>
  <c r="A580" i="4"/>
  <c r="K563" i="4"/>
  <c r="K565" i="4"/>
  <c r="K267" i="4" s="1"/>
  <c r="K566" i="4"/>
  <c r="K268" i="4" s="1"/>
  <c r="K564" i="4"/>
  <c r="I566" i="4"/>
  <c r="I564" i="4"/>
  <c r="I565" i="4"/>
  <c r="I563" i="4"/>
  <c r="M563" i="4"/>
  <c r="M565" i="4"/>
  <c r="M267" i="4" s="1"/>
  <c r="M566" i="4"/>
  <c r="M268" i="4" s="1"/>
  <c r="M564" i="4"/>
  <c r="T565" i="4"/>
  <c r="T267" i="4" s="1"/>
  <c r="T564" i="4"/>
  <c r="T563" i="4"/>
  <c r="T566" i="4"/>
  <c r="T268" i="4" s="1"/>
  <c r="N563" i="4"/>
  <c r="N565" i="4"/>
  <c r="N267" i="4" s="1"/>
  <c r="N566" i="4"/>
  <c r="N268" i="4" s="1"/>
  <c r="N564" i="4"/>
  <c r="L565" i="4"/>
  <c r="L267" i="4" s="1"/>
  <c r="L566" i="4"/>
  <c r="L268" i="4" s="1"/>
  <c r="L563" i="4"/>
  <c r="L564" i="4"/>
  <c r="O564" i="4"/>
  <c r="O566" i="4"/>
  <c r="O268" i="4" s="1"/>
  <c r="O565" i="4"/>
  <c r="O267" i="4" s="1"/>
  <c r="O563" i="4"/>
  <c r="J565" i="4"/>
  <c r="J267" i="4" s="1"/>
  <c r="J566" i="4"/>
  <c r="J268" i="4" s="1"/>
  <c r="J564" i="4"/>
  <c r="J563" i="4"/>
  <c r="G304" i="4"/>
  <c r="G53" i="4"/>
  <c r="G56" i="4"/>
  <c r="I304" i="4"/>
  <c r="I56" i="4"/>
  <c r="I53" i="4"/>
  <c r="N304" i="4"/>
  <c r="L56" i="4"/>
  <c r="K304" i="4"/>
  <c r="Q304" i="4"/>
  <c r="N56" i="4"/>
  <c r="K53" i="4"/>
  <c r="Q53" i="4"/>
  <c r="N53" i="4"/>
  <c r="K56" i="4"/>
  <c r="Q56" i="4"/>
  <c r="R304" i="4"/>
  <c r="R56" i="4"/>
  <c r="P304" i="4"/>
  <c r="V304" i="4"/>
  <c r="O554" i="4" s="1"/>
  <c r="R53" i="4"/>
  <c r="J304" i="4"/>
  <c r="P53" i="4"/>
  <c r="T304" i="4"/>
  <c r="V56" i="4"/>
  <c r="J53" i="4"/>
  <c r="P56" i="4"/>
  <c r="S304" i="4"/>
  <c r="T56" i="4"/>
  <c r="V53" i="4"/>
  <c r="J56" i="4"/>
  <c r="S56" i="4"/>
  <c r="T53" i="4"/>
  <c r="S53" i="4"/>
  <c r="U304" i="4"/>
  <c r="U53" i="4"/>
  <c r="O304" i="4"/>
  <c r="U56" i="4"/>
  <c r="O53" i="4"/>
  <c r="M304" i="4"/>
  <c r="O56" i="4"/>
  <c r="M53" i="4"/>
  <c r="L304" i="4"/>
  <c r="M56" i="4"/>
  <c r="L53" i="4"/>
  <c r="H304" i="4"/>
  <c r="H56" i="4"/>
  <c r="H53" i="4"/>
  <c r="Q566" i="4"/>
  <c r="Q268" i="4" s="1"/>
  <c r="Q563" i="4"/>
  <c r="Q564" i="4"/>
  <c r="Q565" i="4"/>
  <c r="Q267" i="4" s="1"/>
  <c r="Q262" i="4"/>
  <c r="O260" i="4"/>
  <c r="O262" i="4"/>
  <c r="M260" i="4"/>
  <c r="N262" i="4"/>
  <c r="L260" i="4"/>
  <c r="U262" i="4"/>
  <c r="G262" i="4"/>
  <c r="S260" i="4"/>
  <c r="K262" i="4"/>
  <c r="N260" i="4"/>
  <c r="H260" i="4"/>
  <c r="G260" i="4"/>
  <c r="T262" i="4"/>
  <c r="V260" i="4"/>
  <c r="V269" i="4" s="1"/>
  <c r="P262" i="4"/>
  <c r="M262" i="4"/>
  <c r="L262" i="4"/>
  <c r="J262" i="4"/>
  <c r="U260" i="4"/>
  <c r="T260" i="4"/>
  <c r="H262" i="4"/>
  <c r="R260" i="4"/>
  <c r="J260" i="4"/>
  <c r="I260" i="4"/>
  <c r="A51" i="4"/>
  <c r="Q260" i="4"/>
  <c r="P260" i="4"/>
  <c r="K260" i="4"/>
  <c r="S262" i="4"/>
  <c r="R262" i="4"/>
  <c r="R566" i="4"/>
  <c r="R268" i="4" s="1"/>
  <c r="R563" i="4"/>
  <c r="R565" i="4"/>
  <c r="R267" i="4" s="1"/>
  <c r="R564" i="4"/>
  <c r="P565" i="4"/>
  <c r="P267" i="4" s="1"/>
  <c r="P566" i="4"/>
  <c r="P268" i="4" s="1"/>
  <c r="P563" i="4"/>
  <c r="P564" i="4"/>
  <c r="S563" i="4"/>
  <c r="S564" i="4"/>
  <c r="S565" i="4"/>
  <c r="S267" i="4" s="1"/>
  <c r="S566" i="4"/>
  <c r="S268" i="4" s="1"/>
  <c r="H563" i="4"/>
  <c r="H566" i="4"/>
  <c r="H268" i="4" s="1"/>
  <c r="H565" i="4"/>
  <c r="H267" i="4" s="1"/>
  <c r="H564" i="4"/>
  <c r="A243" i="4"/>
  <c r="G250" i="4"/>
  <c r="U563" i="4"/>
  <c r="U566" i="4"/>
  <c r="U564" i="4"/>
  <c r="U268" i="4" s="1"/>
  <c r="U565" i="4"/>
  <c r="U267" i="4" s="1"/>
  <c r="A169" i="4"/>
  <c r="S52" i="4" l="1"/>
  <c r="S170" i="4"/>
  <c r="S110" i="4"/>
  <c r="O170" i="4"/>
  <c r="O110" i="4"/>
  <c r="O52" i="4"/>
  <c r="U110" i="4"/>
  <c r="U52" i="4"/>
  <c r="U170" i="4"/>
  <c r="Q52" i="4"/>
  <c r="Q170" i="4"/>
  <c r="Q110" i="4"/>
  <c r="G564" i="4"/>
  <c r="G563" i="4"/>
  <c r="A250" i="4"/>
  <c r="G566" i="4"/>
  <c r="G565" i="4"/>
  <c r="P170" i="4"/>
  <c r="P110" i="4"/>
  <c r="P52" i="4"/>
  <c r="O547" i="4"/>
  <c r="O551" i="4"/>
  <c r="O545" i="4"/>
  <c r="O552" i="4"/>
  <c r="O548" i="4"/>
  <c r="O550" i="4"/>
  <c r="O549" i="4"/>
  <c r="L52" i="4"/>
  <c r="L170" i="4"/>
  <c r="L110" i="4"/>
  <c r="M52" i="4"/>
  <c r="M170" i="4"/>
  <c r="M110" i="4"/>
  <c r="R170" i="4"/>
  <c r="R110" i="4"/>
  <c r="R52" i="4"/>
  <c r="I110" i="4"/>
  <c r="I52" i="4"/>
  <c r="I170" i="4"/>
  <c r="H52" i="4"/>
  <c r="H110" i="4"/>
  <c r="H170" i="4"/>
  <c r="J110" i="4"/>
  <c r="J52" i="4"/>
  <c r="J170" i="4"/>
  <c r="I554" i="4"/>
  <c r="V270" i="4"/>
  <c r="V286" i="4" s="1"/>
  <c r="N170" i="4"/>
  <c r="N110" i="4"/>
  <c r="N52" i="4"/>
  <c r="T110" i="4"/>
  <c r="T170" i="4"/>
  <c r="T52" i="4"/>
  <c r="K110" i="4"/>
  <c r="K170" i="4"/>
  <c r="K52" i="4"/>
  <c r="S115" i="4" l="1"/>
  <c r="J115" i="4"/>
  <c r="J116" i="4" s="1"/>
  <c r="T115" i="4"/>
  <c r="T116" i="4" s="1"/>
  <c r="R115" i="4"/>
  <c r="Q115" i="4"/>
  <c r="P115" i="4"/>
  <c r="P116" i="4" s="1"/>
  <c r="O115" i="4"/>
  <c r="O116" i="4" s="1"/>
  <c r="N115" i="4"/>
  <c r="N116" i="4" s="1"/>
  <c r="M115" i="4"/>
  <c r="M116" i="4" s="1"/>
  <c r="L115" i="4"/>
  <c r="L116" i="4" s="1"/>
  <c r="K115" i="4"/>
  <c r="K116" i="4" s="1"/>
  <c r="H115" i="4"/>
  <c r="H116" i="4" s="1"/>
  <c r="G115" i="4"/>
  <c r="V115" i="4"/>
  <c r="V116" i="4" s="1"/>
  <c r="U115" i="4"/>
  <c r="I115" i="4"/>
  <c r="F116" i="4"/>
  <c r="A564" i="4"/>
  <c r="F564" i="4"/>
  <c r="Q116" i="4"/>
  <c r="I116" i="4"/>
  <c r="R116" i="4"/>
  <c r="O553" i="4"/>
  <c r="U116" i="4"/>
  <c r="S175" i="4"/>
  <c r="J175" i="4"/>
  <c r="I175" i="4"/>
  <c r="V175" i="4"/>
  <c r="G175" i="4"/>
  <c r="O175" i="4"/>
  <c r="N175" i="4"/>
  <c r="K175" i="4"/>
  <c r="H175" i="4"/>
  <c r="U175" i="4"/>
  <c r="T175" i="4"/>
  <c r="Q175" i="4"/>
  <c r="P175" i="4"/>
  <c r="L175" i="4"/>
  <c r="R175" i="4"/>
  <c r="M175" i="4"/>
  <c r="F565" i="4"/>
  <c r="G267" i="4"/>
  <c r="F566" i="4"/>
  <c r="G268" i="4"/>
  <c r="S116" i="4"/>
  <c r="F563" i="4"/>
  <c r="A563" i="4" s="1"/>
  <c r="G110" i="4"/>
  <c r="G52" i="4"/>
  <c r="G170" i="4"/>
  <c r="G116" i="4" l="1"/>
  <c r="M316" i="4" s="1"/>
  <c r="L325" i="4"/>
  <c r="L195" i="4"/>
  <c r="N325" i="4"/>
  <c r="N195" i="4"/>
  <c r="O325" i="4"/>
  <c r="O195" i="4"/>
  <c r="K325" i="4"/>
  <c r="K195" i="4"/>
  <c r="P325" i="4"/>
  <c r="P195" i="4"/>
  <c r="M195" i="4"/>
  <c r="M325" i="4"/>
  <c r="J325" i="4"/>
  <c r="J195" i="4"/>
  <c r="V325" i="4"/>
  <c r="V195" i="4"/>
  <c r="Q316" i="4"/>
  <c r="U316" i="4"/>
  <c r="T316" i="4"/>
  <c r="S316" i="4"/>
  <c r="P316" i="4"/>
  <c r="T195" i="4"/>
  <c r="T325" i="4"/>
  <c r="J57" i="4"/>
  <c r="J58" i="4" s="1"/>
  <c r="I57" i="4"/>
  <c r="I58" i="4" s="1"/>
  <c r="S57" i="4"/>
  <c r="S58" i="4" s="1"/>
  <c r="P57" i="4"/>
  <c r="P58" i="4" s="1"/>
  <c r="N57" i="4"/>
  <c r="N58" i="4" s="1"/>
  <c r="M57" i="4"/>
  <c r="M58" i="4" s="1"/>
  <c r="O57" i="4"/>
  <c r="O58" i="4" s="1"/>
  <c r="L57" i="4"/>
  <c r="L58" i="4" s="1"/>
  <c r="K57" i="4"/>
  <c r="K58" i="4" s="1"/>
  <c r="H57" i="4"/>
  <c r="H58" i="4" s="1"/>
  <c r="G57" i="4"/>
  <c r="G58" i="4" s="1"/>
  <c r="V57" i="4"/>
  <c r="V58" i="4" s="1"/>
  <c r="R57" i="4"/>
  <c r="R58" i="4" s="1"/>
  <c r="U57" i="4"/>
  <c r="U58" i="4" s="1"/>
  <c r="T57" i="4"/>
  <c r="T58" i="4" s="1"/>
  <c r="Q57" i="4"/>
  <c r="Q58" i="4" s="1"/>
  <c r="F58" i="4"/>
  <c r="U195" i="4"/>
  <c r="U325" i="4"/>
  <c r="H325" i="4"/>
  <c r="H195" i="4"/>
  <c r="R325" i="4"/>
  <c r="R195" i="4"/>
  <c r="Q325" i="4"/>
  <c r="Q195" i="4"/>
  <c r="S325" i="4"/>
  <c r="S195" i="4"/>
  <c r="I325" i="4"/>
  <c r="I195" i="4"/>
  <c r="A116" i="4"/>
  <c r="I316" i="4" l="1"/>
  <c r="AE316" i="4"/>
  <c r="G316" i="4"/>
  <c r="G325" i="4"/>
  <c r="F325" i="4" s="1"/>
  <c r="H316" i="4"/>
  <c r="J316" i="4"/>
  <c r="K316" i="4"/>
  <c r="AF316" i="4"/>
  <c r="R316" i="4"/>
  <c r="L316" i="4"/>
  <c r="V316" i="4"/>
  <c r="Q554" i="4" s="1"/>
  <c r="Q547" i="4" s="1"/>
  <c r="N316" i="4"/>
  <c r="G195" i="4"/>
  <c r="Q207" i="4" s="1"/>
  <c r="O316" i="4"/>
  <c r="A58" i="4"/>
  <c r="F239" i="4"/>
  <c r="H258" i="4"/>
  <c r="G258" i="4"/>
  <c r="N258" i="4"/>
  <c r="L258" i="4"/>
  <c r="M258" i="4"/>
  <c r="U258" i="4"/>
  <c r="K258" i="4"/>
  <c r="J258" i="4"/>
  <c r="T258" i="4"/>
  <c r="Q258" i="4"/>
  <c r="S258" i="4"/>
  <c r="O258" i="4"/>
  <c r="R258" i="4"/>
  <c r="P258" i="4"/>
  <c r="V207" i="4" l="1"/>
  <c r="S207" i="4"/>
  <c r="R207" i="4"/>
  <c r="Q548" i="4"/>
  <c r="U207" i="4"/>
  <c r="G207" i="4"/>
  <c r="F195" i="4"/>
  <c r="H207" i="4"/>
  <c r="Q551" i="4"/>
  <c r="T207" i="4"/>
  <c r="Q550" i="4"/>
  <c r="I207" i="4"/>
  <c r="Q549" i="4"/>
  <c r="K207" i="4"/>
  <c r="Q545" i="4"/>
  <c r="L207" i="4"/>
  <c r="J207" i="4"/>
  <c r="Q552" i="4"/>
  <c r="M207" i="4"/>
  <c r="N207" i="4"/>
  <c r="O207" i="4"/>
  <c r="P207" i="4"/>
  <c r="Q553" i="4" l="1"/>
  <c r="S203" i="4" l="1"/>
  <c r="R203" i="4"/>
  <c r="O203" i="4"/>
  <c r="K203" i="4"/>
  <c r="L203" i="4"/>
  <c r="N203" i="4"/>
  <c r="J203" i="4"/>
  <c r="M203" i="4"/>
  <c r="I203" i="4"/>
  <c r="H203" i="4"/>
  <c r="G203" i="4"/>
  <c r="Q203" i="4"/>
  <c r="P203" i="4"/>
  <c r="V203" i="4"/>
  <c r="U203" i="4"/>
  <c r="T203" i="4"/>
  <c r="A203" i="4" l="1"/>
  <c r="U261" i="4"/>
  <c r="G261" i="4"/>
  <c r="T261" i="4"/>
  <c r="M261" i="4"/>
  <c r="N261" i="4"/>
  <c r="H261" i="4"/>
  <c r="K261" i="4"/>
  <c r="J261" i="4"/>
  <c r="R261" i="4"/>
  <c r="Q261" i="4"/>
  <c r="S261" i="4"/>
  <c r="P261" i="4"/>
  <c r="O261" i="4"/>
  <c r="L261" i="4"/>
  <c r="J174" i="4"/>
  <c r="J176" i="4" s="1"/>
  <c r="J299" i="4" s="1"/>
  <c r="N174" i="4"/>
  <c r="N176" i="4" s="1"/>
  <c r="N299" i="4" s="1"/>
  <c r="M174" i="4"/>
  <c r="M176" i="4" s="1"/>
  <c r="M299" i="4" s="1"/>
  <c r="K174" i="4"/>
  <c r="K176" i="4" s="1"/>
  <c r="K299" i="4" s="1"/>
  <c r="S174" i="4"/>
  <c r="S176" i="4" s="1"/>
  <c r="S299" i="4" s="1"/>
  <c r="R174" i="4"/>
  <c r="R176" i="4" s="1"/>
  <c r="R299" i="4" s="1"/>
  <c r="V174" i="4"/>
  <c r="V176" i="4" s="1"/>
  <c r="U174" i="4"/>
  <c r="U176" i="4" s="1"/>
  <c r="U299" i="4" s="1"/>
  <c r="T174" i="4"/>
  <c r="T176" i="4" s="1"/>
  <c r="T299" i="4" s="1"/>
  <c r="Q174" i="4"/>
  <c r="Q176" i="4" s="1"/>
  <c r="Q299" i="4" s="1"/>
  <c r="P174" i="4"/>
  <c r="P176" i="4" s="1"/>
  <c r="P299" i="4" s="1"/>
  <c r="L174" i="4"/>
  <c r="L176" i="4" s="1"/>
  <c r="L299" i="4" s="1"/>
  <c r="I174" i="4"/>
  <c r="I176" i="4" s="1"/>
  <c r="I299" i="4" s="1"/>
  <c r="O174" i="4"/>
  <c r="O176" i="4" s="1"/>
  <c r="O299" i="4" s="1"/>
  <c r="H174" i="4"/>
  <c r="H176" i="4" s="1"/>
  <c r="H299" i="4" s="1"/>
  <c r="G174" i="4"/>
  <c r="G176" i="4" s="1"/>
  <c r="G299" i="4" s="1"/>
  <c r="F176" i="4"/>
  <c r="L206" i="4" l="1"/>
  <c r="I206" i="4"/>
  <c r="R206" i="4"/>
  <c r="V206" i="4"/>
  <c r="J206" i="4"/>
  <c r="U206" i="4"/>
  <c r="P206" i="4"/>
  <c r="S206" i="4"/>
  <c r="O206" i="4"/>
  <c r="G206" i="4"/>
  <c r="Q206" i="4"/>
  <c r="M206" i="4"/>
  <c r="T206" i="4"/>
  <c r="N206" i="4"/>
  <c r="K206" i="4"/>
  <c r="H206" i="4"/>
  <c r="N554" i="4"/>
  <c r="V299" i="4"/>
  <c r="F299" i="4" s="1"/>
  <c r="R197" i="4"/>
  <c r="Q197" i="4"/>
  <c r="U197" i="4"/>
  <c r="P197" i="4"/>
  <c r="L197" i="4"/>
  <c r="S197" i="4"/>
  <c r="O197" i="4"/>
  <c r="K197" i="4"/>
  <c r="I197" i="4"/>
  <c r="N197" i="4"/>
  <c r="J197" i="4"/>
  <c r="M197" i="4"/>
  <c r="H197" i="4"/>
  <c r="G197" i="4"/>
  <c r="T197" i="4"/>
  <c r="V197" i="4"/>
  <c r="A176" i="4"/>
  <c r="N208" i="4" l="1"/>
  <c r="Q208" i="4"/>
  <c r="Q212" i="4" s="1"/>
  <c r="Q320" i="4" s="1"/>
  <c r="T208" i="4"/>
  <c r="T212" i="4" s="1"/>
  <c r="T320" i="4" s="1"/>
  <c r="H208" i="4"/>
  <c r="H212" i="4" s="1"/>
  <c r="H320" i="4" s="1"/>
  <c r="M208" i="4"/>
  <c r="M212" i="4" s="1"/>
  <c r="M320" i="4" s="1"/>
  <c r="A206" i="4"/>
  <c r="V208" i="4"/>
  <c r="V210" i="4" s="1"/>
  <c r="F210" i="4" s="1"/>
  <c r="R208" i="4"/>
  <c r="R212" i="4" s="1"/>
  <c r="R320" i="4" s="1"/>
  <c r="G208" i="4"/>
  <c r="G212" i="4" s="1"/>
  <c r="J208" i="4"/>
  <c r="I208" i="4"/>
  <c r="I212" i="4" s="1"/>
  <c r="I320" i="4" s="1"/>
  <c r="K208" i="4"/>
  <c r="K212" i="4" s="1"/>
  <c r="K320" i="4" s="1"/>
  <c r="A197" i="4"/>
  <c r="N212" i="4"/>
  <c r="N320" i="4" s="1"/>
  <c r="N548" i="4"/>
  <c r="N547" i="4"/>
  <c r="N552" i="4"/>
  <c r="N550" i="4"/>
  <c r="N545" i="4"/>
  <c r="N549" i="4"/>
  <c r="N551" i="4"/>
  <c r="O208" i="4"/>
  <c r="S208" i="4"/>
  <c r="U263" i="4"/>
  <c r="U269" i="4" s="1"/>
  <c r="U270" i="4" s="1"/>
  <c r="U286" i="4" s="1"/>
  <c r="H263" i="4"/>
  <c r="H269" i="4" s="1"/>
  <c r="H270" i="4" s="1"/>
  <c r="H286" i="4" s="1"/>
  <c r="S263" i="4"/>
  <c r="S269" i="4" s="1"/>
  <c r="S270" i="4" s="1"/>
  <c r="S286" i="4" s="1"/>
  <c r="M263" i="4"/>
  <c r="M269" i="4" s="1"/>
  <c r="M270" i="4" s="1"/>
  <c r="M286" i="4" s="1"/>
  <c r="J263" i="4"/>
  <c r="J269" i="4" s="1"/>
  <c r="J270" i="4" s="1"/>
  <c r="J286" i="4" s="1"/>
  <c r="O263" i="4"/>
  <c r="O269" i="4" s="1"/>
  <c r="O270" i="4" s="1"/>
  <c r="O286" i="4" s="1"/>
  <c r="T263" i="4"/>
  <c r="T269" i="4" s="1"/>
  <c r="T270" i="4" s="1"/>
  <c r="T286" i="4" s="1"/>
  <c r="G263" i="4"/>
  <c r="G269" i="4" s="1"/>
  <c r="G270" i="4" s="1"/>
  <c r="R263" i="4"/>
  <c r="R269" i="4" s="1"/>
  <c r="R270" i="4" s="1"/>
  <c r="R286" i="4" s="1"/>
  <c r="L263" i="4"/>
  <c r="L269" i="4" s="1"/>
  <c r="L270" i="4" s="1"/>
  <c r="L286" i="4" s="1"/>
  <c r="Q263" i="4"/>
  <c r="Q269" i="4" s="1"/>
  <c r="Q270" i="4" s="1"/>
  <c r="Q286" i="4" s="1"/>
  <c r="K263" i="4"/>
  <c r="K269" i="4" s="1"/>
  <c r="K270" i="4" s="1"/>
  <c r="K286" i="4" s="1"/>
  <c r="P263" i="4"/>
  <c r="P269" i="4" s="1"/>
  <c r="P270" i="4" s="1"/>
  <c r="P286" i="4" s="1"/>
  <c r="N263" i="4"/>
  <c r="N269" i="4" s="1"/>
  <c r="N270" i="4" s="1"/>
  <c r="N286" i="4" s="1"/>
  <c r="I269" i="4"/>
  <c r="I270" i="4" s="1"/>
  <c r="I286" i="4" s="1"/>
  <c r="F269" i="4"/>
  <c r="L208" i="4"/>
  <c r="P208" i="4"/>
  <c r="U208" i="4"/>
  <c r="J212" i="4" l="1"/>
  <c r="J320" i="4" s="1"/>
  <c r="J437" i="4" s="1"/>
  <c r="I218" i="4"/>
  <c r="G319" i="4"/>
  <c r="K319" i="4"/>
  <c r="V212" i="4"/>
  <c r="V320" i="4" s="1"/>
  <c r="V435" i="4" s="1"/>
  <c r="O212" i="4"/>
  <c r="O320" i="4" s="1"/>
  <c r="N218" i="4"/>
  <c r="N319" i="4"/>
  <c r="G218" i="4"/>
  <c r="N439" i="4"/>
  <c r="N441" i="4"/>
  <c r="N440" i="4"/>
  <c r="N432" i="4"/>
  <c r="N438" i="4"/>
  <c r="N431" i="4"/>
  <c r="N437" i="4"/>
  <c r="N430" i="4"/>
  <c r="N434" i="4"/>
  <c r="N435" i="4"/>
  <c r="N436" i="4"/>
  <c r="F208" i="4"/>
  <c r="P212" i="4"/>
  <c r="P320" i="4" s="1"/>
  <c r="R319" i="4"/>
  <c r="R218" i="4"/>
  <c r="G286" i="4"/>
  <c r="F286" i="4" s="1"/>
  <c r="J319" i="4"/>
  <c r="J218" i="4"/>
  <c r="R438" i="4"/>
  <c r="R432" i="4"/>
  <c r="R430" i="4"/>
  <c r="R439" i="4"/>
  <c r="R437" i="4"/>
  <c r="R431" i="4"/>
  <c r="R436" i="4"/>
  <c r="R441" i="4"/>
  <c r="R434" i="4"/>
  <c r="R435" i="4"/>
  <c r="R440" i="4"/>
  <c r="K431" i="4"/>
  <c r="K435" i="4"/>
  <c r="K441" i="4"/>
  <c r="K434" i="4"/>
  <c r="K440" i="4"/>
  <c r="K439" i="4"/>
  <c r="K432" i="4"/>
  <c r="K436" i="4"/>
  <c r="K437" i="4"/>
  <c r="K430" i="4"/>
  <c r="K438" i="4"/>
  <c r="T319" i="4"/>
  <c r="T218" i="4"/>
  <c r="I319" i="4"/>
  <c r="T440" i="4"/>
  <c r="T438" i="4"/>
  <c r="T436" i="4"/>
  <c r="T437" i="4"/>
  <c r="T431" i="4"/>
  <c r="T430" i="4"/>
  <c r="T435" i="4"/>
  <c r="T441" i="4"/>
  <c r="T434" i="4"/>
  <c r="T439" i="4"/>
  <c r="T432" i="4"/>
  <c r="I435" i="4"/>
  <c r="I437" i="4"/>
  <c r="I432" i="4"/>
  <c r="I430" i="4"/>
  <c r="I441" i="4"/>
  <c r="I434" i="4"/>
  <c r="I436" i="4"/>
  <c r="I439" i="4"/>
  <c r="I431" i="4"/>
  <c r="I440" i="4"/>
  <c r="I438" i="4"/>
  <c r="M319" i="4"/>
  <c r="M218" i="4"/>
  <c r="L212" i="4"/>
  <c r="L320" i="4" s="1"/>
  <c r="M441" i="4"/>
  <c r="M439" i="4"/>
  <c r="M437" i="4"/>
  <c r="M438" i="4"/>
  <c r="M434" i="4"/>
  <c r="M440" i="4"/>
  <c r="M432" i="4"/>
  <c r="M430" i="4"/>
  <c r="M431" i="4"/>
  <c r="M435" i="4"/>
  <c r="M436" i="4"/>
  <c r="Q218" i="4"/>
  <c r="Q319" i="4"/>
  <c r="Q441" i="4"/>
  <c r="Q431" i="4"/>
  <c r="Q435" i="4"/>
  <c r="Q440" i="4"/>
  <c r="Q432" i="4"/>
  <c r="Q439" i="4"/>
  <c r="Q438" i="4"/>
  <c r="Q437" i="4"/>
  <c r="Q436" i="4"/>
  <c r="Q430" i="4"/>
  <c r="Q434" i="4"/>
  <c r="A269" i="4"/>
  <c r="F270" i="4"/>
  <c r="A270" i="4" s="1"/>
  <c r="V319" i="4"/>
  <c r="S554" i="4" s="1"/>
  <c r="V218" i="4"/>
  <c r="H218" i="4"/>
  <c r="H319" i="4"/>
  <c r="S212" i="4"/>
  <c r="S320" i="4" s="1"/>
  <c r="H440" i="4"/>
  <c r="H435" i="4"/>
  <c r="H430" i="4"/>
  <c r="H441" i="4"/>
  <c r="H434" i="4"/>
  <c r="H438" i="4"/>
  <c r="H432" i="4"/>
  <c r="H436" i="4"/>
  <c r="H439" i="4"/>
  <c r="H437" i="4"/>
  <c r="H431" i="4"/>
  <c r="N553" i="4"/>
  <c r="U212" i="4"/>
  <c r="U320" i="4" s="1"/>
  <c r="V461" i="4" l="1"/>
  <c r="J431" i="4"/>
  <c r="J440" i="4"/>
  <c r="J435" i="4"/>
  <c r="J438" i="4"/>
  <c r="J439" i="4"/>
  <c r="V441" i="4"/>
  <c r="Q442" i="4"/>
  <c r="V432" i="4"/>
  <c r="J434" i="4"/>
  <c r="T554" i="4"/>
  <c r="T548" i="4" s="1"/>
  <c r="J436" i="4"/>
  <c r="V434" i="4"/>
  <c r="J441" i="4"/>
  <c r="V436" i="4"/>
  <c r="J430" i="4"/>
  <c r="V440" i="4"/>
  <c r="J432" i="4"/>
  <c r="F214" i="4"/>
  <c r="K218" i="4"/>
  <c r="V437" i="4"/>
  <c r="V438" i="4"/>
  <c r="V439" i="4"/>
  <c r="L439" i="4"/>
  <c r="L441" i="4"/>
  <c r="L434" i="4"/>
  <c r="L440" i="4"/>
  <c r="L438" i="4"/>
  <c r="L432" i="4"/>
  <c r="L436" i="4"/>
  <c r="L437" i="4"/>
  <c r="L430" i="4"/>
  <c r="L431" i="4"/>
  <c r="L435" i="4"/>
  <c r="T416" i="4"/>
  <c r="T425" i="4"/>
  <c r="T424" i="4"/>
  <c r="T426" i="4"/>
  <c r="T423" i="4"/>
  <c r="T420" i="4"/>
  <c r="T417" i="4"/>
  <c r="T421" i="4"/>
  <c r="T422" i="4"/>
  <c r="T415" i="4"/>
  <c r="T419" i="4"/>
  <c r="M421" i="4"/>
  <c r="M420" i="4"/>
  <c r="M419" i="4"/>
  <c r="M425" i="4"/>
  <c r="M415" i="4"/>
  <c r="M424" i="4"/>
  <c r="M422" i="4"/>
  <c r="M416" i="4"/>
  <c r="M423" i="4"/>
  <c r="M417" i="4"/>
  <c r="M426" i="4"/>
  <c r="T442" i="4"/>
  <c r="G421" i="4"/>
  <c r="G417" i="4"/>
  <c r="G415" i="4"/>
  <c r="G422" i="4"/>
  <c r="G420" i="4"/>
  <c r="G423" i="4"/>
  <c r="G425" i="4"/>
  <c r="G424" i="4"/>
  <c r="G419" i="4"/>
  <c r="G426" i="4"/>
  <c r="G416" i="4"/>
  <c r="H442" i="4"/>
  <c r="J422" i="4"/>
  <c r="J426" i="4"/>
  <c r="J425" i="4"/>
  <c r="J420" i="4"/>
  <c r="J421" i="4"/>
  <c r="J416" i="4"/>
  <c r="J415" i="4"/>
  <c r="J419" i="4"/>
  <c r="J417" i="4"/>
  <c r="J424" i="4"/>
  <c r="J423" i="4"/>
  <c r="K442" i="4"/>
  <c r="K422" i="4"/>
  <c r="K415" i="4"/>
  <c r="K424" i="4"/>
  <c r="K423" i="4"/>
  <c r="K416" i="4"/>
  <c r="K419" i="4"/>
  <c r="K425" i="4"/>
  <c r="K420" i="4"/>
  <c r="K426" i="4"/>
  <c r="K417" i="4"/>
  <c r="K421" i="4"/>
  <c r="U218" i="4"/>
  <c r="U319" i="4"/>
  <c r="H415" i="4"/>
  <c r="H422" i="4"/>
  <c r="H426" i="4"/>
  <c r="H423" i="4"/>
  <c r="H416" i="4"/>
  <c r="H424" i="4"/>
  <c r="H420" i="4"/>
  <c r="H417" i="4"/>
  <c r="H419" i="4"/>
  <c r="H425" i="4"/>
  <c r="H421" i="4"/>
  <c r="M442" i="4"/>
  <c r="R419" i="4"/>
  <c r="R415" i="4"/>
  <c r="R426" i="4"/>
  <c r="R420" i="4"/>
  <c r="R423" i="4"/>
  <c r="R417" i="4"/>
  <c r="R425" i="4"/>
  <c r="R416" i="4"/>
  <c r="R421" i="4"/>
  <c r="R422" i="4"/>
  <c r="R424" i="4"/>
  <c r="U438" i="4"/>
  <c r="U437" i="4"/>
  <c r="U431" i="4"/>
  <c r="U436" i="4"/>
  <c r="U430" i="4"/>
  <c r="U435" i="4"/>
  <c r="U434" i="4"/>
  <c r="U439" i="4"/>
  <c r="U440" i="4"/>
  <c r="U432" i="4"/>
  <c r="U441" i="4"/>
  <c r="I442" i="4"/>
  <c r="R442" i="4"/>
  <c r="P319" i="4"/>
  <c r="P218" i="4"/>
  <c r="F216" i="4"/>
  <c r="G320" i="4"/>
  <c r="S319" i="4"/>
  <c r="S218" i="4"/>
  <c r="P436" i="4"/>
  <c r="P434" i="4"/>
  <c r="P441" i="4"/>
  <c r="P431" i="4"/>
  <c r="P440" i="4"/>
  <c r="P432" i="4"/>
  <c r="P439" i="4"/>
  <c r="P438" i="4"/>
  <c r="P437" i="4"/>
  <c r="P430" i="4"/>
  <c r="P435" i="4"/>
  <c r="F212" i="4"/>
  <c r="S438" i="4"/>
  <c r="S437" i="4"/>
  <c r="S439" i="4"/>
  <c r="S432" i="4"/>
  <c r="S431" i="4"/>
  <c r="S436" i="4"/>
  <c r="S430" i="4"/>
  <c r="S441" i="4"/>
  <c r="S434" i="4"/>
  <c r="S435" i="4"/>
  <c r="S440" i="4"/>
  <c r="A208" i="4"/>
  <c r="N417" i="4"/>
  <c r="N424" i="4"/>
  <c r="N419" i="4"/>
  <c r="N422" i="4"/>
  <c r="N426" i="4"/>
  <c r="N420" i="4"/>
  <c r="N423" i="4"/>
  <c r="N416" i="4"/>
  <c r="N421" i="4"/>
  <c r="N425" i="4"/>
  <c r="N415" i="4"/>
  <c r="S551" i="4"/>
  <c r="S545" i="4"/>
  <c r="V415" i="4" s="1"/>
  <c r="S548" i="4"/>
  <c r="S550" i="4"/>
  <c r="S549" i="4"/>
  <c r="S547" i="4"/>
  <c r="S552" i="4"/>
  <c r="I422" i="4"/>
  <c r="I425" i="4"/>
  <c r="I423" i="4"/>
  <c r="I417" i="4"/>
  <c r="I424" i="4"/>
  <c r="I420" i="4"/>
  <c r="I426" i="4"/>
  <c r="I419" i="4"/>
  <c r="I416" i="4"/>
  <c r="I421" i="4"/>
  <c r="I415" i="4"/>
  <c r="O218" i="4"/>
  <c r="O319" i="4"/>
  <c r="Q422" i="4"/>
  <c r="Q425" i="4"/>
  <c r="Q416" i="4"/>
  <c r="Q421" i="4"/>
  <c r="Q419" i="4"/>
  <c r="Q415" i="4"/>
  <c r="Q426" i="4"/>
  <c r="Q417" i="4"/>
  <c r="Q423" i="4"/>
  <c r="Q424" i="4"/>
  <c r="Q420" i="4"/>
  <c r="L218" i="4"/>
  <c r="L319" i="4"/>
  <c r="N442" i="4"/>
  <c r="O436" i="4"/>
  <c r="O434" i="4"/>
  <c r="O440" i="4"/>
  <c r="O432" i="4"/>
  <c r="O439" i="4"/>
  <c r="O438" i="4"/>
  <c r="O431" i="4"/>
  <c r="O437" i="4"/>
  <c r="O441" i="4"/>
  <c r="O430" i="4"/>
  <c r="O435" i="4"/>
  <c r="V465" i="4" l="1"/>
  <c r="V464" i="4"/>
  <c r="V463" i="4"/>
  <c r="V466" i="4"/>
  <c r="V462" i="4"/>
  <c r="V458" i="4"/>
  <c r="V473" i="4" s="1"/>
  <c r="V467" i="4"/>
  <c r="T443" i="4"/>
  <c r="R443" i="4"/>
  <c r="Q443" i="4"/>
  <c r="N443" i="4"/>
  <c r="M443" i="4"/>
  <c r="K443" i="4"/>
  <c r="I443" i="4"/>
  <c r="H443" i="4"/>
  <c r="T549" i="4"/>
  <c r="T547" i="4"/>
  <c r="T552" i="4"/>
  <c r="T545" i="4"/>
  <c r="V430" i="4" s="1"/>
  <c r="T551" i="4"/>
  <c r="T550" i="4"/>
  <c r="V442" i="4"/>
  <c r="J442" i="4"/>
  <c r="V460" i="4"/>
  <c r="F218" i="4"/>
  <c r="A218" i="4" s="1"/>
  <c r="T427" i="4"/>
  <c r="P423" i="4"/>
  <c r="P420" i="4"/>
  <c r="P415" i="4"/>
  <c r="P417" i="4"/>
  <c r="P424" i="4"/>
  <c r="P426" i="4"/>
  <c r="P416" i="4"/>
  <c r="P425" i="4"/>
  <c r="P422" i="4"/>
  <c r="P419" i="4"/>
  <c r="P421" i="4"/>
  <c r="F319" i="4"/>
  <c r="H427" i="4"/>
  <c r="S442" i="4"/>
  <c r="O419" i="4"/>
  <c r="O420" i="4"/>
  <c r="O416" i="4"/>
  <c r="O417" i="4"/>
  <c r="O425" i="4"/>
  <c r="O424" i="4"/>
  <c r="O423" i="4"/>
  <c r="O415" i="4"/>
  <c r="O422" i="4"/>
  <c r="O426" i="4"/>
  <c r="O421" i="4"/>
  <c r="K427" i="4"/>
  <c r="G427" i="4"/>
  <c r="Q427" i="4"/>
  <c r="S553" i="4"/>
  <c r="V416" i="4" s="1"/>
  <c r="J427" i="4"/>
  <c r="P442" i="4"/>
  <c r="U442" i="4"/>
  <c r="N427" i="4"/>
  <c r="L442" i="4"/>
  <c r="O442" i="4"/>
  <c r="I427" i="4"/>
  <c r="S424" i="4"/>
  <c r="S417" i="4"/>
  <c r="S420" i="4"/>
  <c r="S423" i="4"/>
  <c r="S426" i="4"/>
  <c r="S416" i="4"/>
  <c r="S419" i="4"/>
  <c r="S425" i="4"/>
  <c r="S422" i="4"/>
  <c r="S421" i="4"/>
  <c r="S415" i="4"/>
  <c r="U425" i="4"/>
  <c r="U419" i="4"/>
  <c r="U417" i="4"/>
  <c r="U423" i="4"/>
  <c r="U424" i="4"/>
  <c r="U415" i="4"/>
  <c r="U421" i="4"/>
  <c r="U426" i="4"/>
  <c r="U420" i="4"/>
  <c r="U416" i="4"/>
  <c r="U422" i="4"/>
  <c r="M427" i="4"/>
  <c r="G440" i="4"/>
  <c r="G439" i="4"/>
  <c r="G435" i="4"/>
  <c r="G430" i="4"/>
  <c r="G441" i="4"/>
  <c r="G434" i="4"/>
  <c r="G438" i="4"/>
  <c r="G432" i="4"/>
  <c r="G436" i="4"/>
  <c r="G437" i="4"/>
  <c r="G431" i="4"/>
  <c r="F320" i="4"/>
  <c r="R427" i="4"/>
  <c r="L421" i="4"/>
  <c r="L422" i="4"/>
  <c r="L420" i="4"/>
  <c r="L423" i="4"/>
  <c r="L415" i="4"/>
  <c r="L417" i="4"/>
  <c r="L416" i="4"/>
  <c r="L424" i="4"/>
  <c r="L425" i="4"/>
  <c r="L419" i="4"/>
  <c r="L426" i="4"/>
  <c r="A212" i="4"/>
  <c r="V488" i="4" l="1"/>
  <c r="V494" i="4"/>
  <c r="V468" i="4"/>
  <c r="V428" i="4"/>
  <c r="U443" i="4"/>
  <c r="T428" i="4"/>
  <c r="S443" i="4"/>
  <c r="R428" i="4"/>
  <c r="Q428" i="4"/>
  <c r="P443" i="4"/>
  <c r="O443" i="4"/>
  <c r="N428" i="4"/>
  <c r="M428" i="4"/>
  <c r="L443" i="4"/>
  <c r="K428" i="4"/>
  <c r="J428" i="4"/>
  <c r="J443" i="4"/>
  <c r="I428" i="4"/>
  <c r="H428" i="4"/>
  <c r="F437" i="4"/>
  <c r="F436" i="4"/>
  <c r="F432" i="4"/>
  <c r="F438" i="4"/>
  <c r="F441" i="4"/>
  <c r="F435" i="4"/>
  <c r="F439" i="4"/>
  <c r="F440" i="4"/>
  <c r="G428" i="4"/>
  <c r="T553" i="4"/>
  <c r="V431" i="4" s="1"/>
  <c r="V443" i="4" s="1"/>
  <c r="F430" i="4"/>
  <c r="F415" i="4"/>
  <c r="F425" i="4"/>
  <c r="F426" i="4"/>
  <c r="S427" i="4"/>
  <c r="F424" i="4"/>
  <c r="F416" i="4"/>
  <c r="F417" i="4"/>
  <c r="F423" i="4"/>
  <c r="F420" i="4"/>
  <c r="F422" i="4"/>
  <c r="F421" i="4"/>
  <c r="P427" i="4"/>
  <c r="G442" i="4"/>
  <c r="F434" i="4"/>
  <c r="U427" i="4"/>
  <c r="F419" i="4"/>
  <c r="O427" i="4"/>
  <c r="L427" i="4"/>
  <c r="F431" i="4" l="1"/>
  <c r="U428" i="4"/>
  <c r="S428" i="4"/>
  <c r="P428" i="4"/>
  <c r="O428" i="4"/>
  <c r="L428" i="4"/>
  <c r="G443" i="4"/>
  <c r="F442" i="4"/>
  <c r="F427" i="4"/>
  <c r="A427" i="4" s="1"/>
  <c r="G305" i="4"/>
  <c r="I305" i="4"/>
  <c r="AF305" i="4"/>
  <c r="S305" i="4"/>
  <c r="R305" i="4"/>
  <c r="P305" i="4"/>
  <c r="V305" i="4"/>
  <c r="Q305" i="4"/>
  <c r="U305" i="4"/>
  <c r="L305" i="4"/>
  <c r="O305" i="4"/>
  <c r="N305" i="4"/>
  <c r="T305" i="4"/>
  <c r="H305" i="4"/>
  <c r="M305" i="4"/>
  <c r="AE305" i="4"/>
  <c r="J305" i="4"/>
  <c r="K305" i="4"/>
  <c r="F428" i="4" l="1"/>
  <c r="A428" i="4" s="1"/>
  <c r="F443" i="4"/>
  <c r="F312" i="4"/>
  <c r="N302" i="4"/>
  <c r="AF302" i="4"/>
  <c r="L302" i="4"/>
  <c r="Q302" i="4"/>
  <c r="AE302" i="4"/>
  <c r="H302" i="4"/>
  <c r="M302" i="4"/>
  <c r="O302" i="4"/>
  <c r="G302" i="4"/>
  <c r="V302" i="4"/>
  <c r="T302" i="4"/>
  <c r="K302" i="4"/>
  <c r="U302" i="4"/>
  <c r="J302" i="4"/>
  <c r="P302" i="4"/>
  <c r="I302" i="4"/>
  <c r="R302" i="4"/>
  <c r="S302" i="4"/>
  <c r="AE306" i="4"/>
  <c r="G306" i="4"/>
  <c r="O306" i="4"/>
  <c r="M306" i="4"/>
  <c r="L306" i="4"/>
  <c r="V306" i="4"/>
  <c r="J306" i="4"/>
  <c r="H306" i="4"/>
  <c r="T306" i="4"/>
  <c r="I306" i="4"/>
  <c r="R306" i="4"/>
  <c r="K306" i="4"/>
  <c r="S306" i="4"/>
  <c r="AF306" i="4"/>
  <c r="Q306" i="4"/>
  <c r="P306" i="4"/>
  <c r="N306" i="4"/>
  <c r="U306" i="4"/>
  <c r="R312" i="4" l="1"/>
  <c r="R314" i="4" s="1"/>
  <c r="K312" i="4"/>
  <c r="K314" i="4" s="1"/>
  <c r="K322" i="4" s="1"/>
  <c r="O312" i="4"/>
  <c r="O314" i="4" s="1"/>
  <c r="O322" i="4" s="1"/>
  <c r="I312" i="4"/>
  <c r="I314" i="4" s="1"/>
  <c r="I322" i="4" s="1"/>
  <c r="U312" i="4"/>
  <c r="U314" i="4" s="1"/>
  <c r="T312" i="4"/>
  <c r="T314" i="4" s="1"/>
  <c r="P554" i="4"/>
  <c r="V312" i="4"/>
  <c r="V314" i="4" s="1"/>
  <c r="G312" i="4"/>
  <c r="G314" i="4" s="1"/>
  <c r="M312" i="4"/>
  <c r="M314" i="4" s="1"/>
  <c r="H312" i="4"/>
  <c r="H314" i="4" s="1"/>
  <c r="AE312" i="4"/>
  <c r="AE314" i="4" s="1"/>
  <c r="S312" i="4"/>
  <c r="S314" i="4" s="1"/>
  <c r="Q312" i="4"/>
  <c r="Q314" i="4" s="1"/>
  <c r="R322" i="4"/>
  <c r="R317" i="4"/>
  <c r="L312" i="4"/>
  <c r="L314" i="4" s="1"/>
  <c r="AF312" i="4"/>
  <c r="AF314" i="4" s="1"/>
  <c r="P312" i="4"/>
  <c r="P314" i="4" s="1"/>
  <c r="N312" i="4"/>
  <c r="N314" i="4" s="1"/>
  <c r="J312" i="4"/>
  <c r="J314" i="4" s="1"/>
  <c r="F314" i="4"/>
  <c r="O317" i="4" l="1"/>
  <c r="O401" i="4" s="1"/>
  <c r="I317" i="4"/>
  <c r="I410" i="4" s="1"/>
  <c r="K317" i="4"/>
  <c r="K402" i="4" s="1"/>
  <c r="A312" i="4"/>
  <c r="AE317" i="4"/>
  <c r="AE322" i="4"/>
  <c r="J322" i="4"/>
  <c r="J317" i="4"/>
  <c r="H317" i="4"/>
  <c r="H322" i="4"/>
  <c r="N322" i="4"/>
  <c r="N317" i="4"/>
  <c r="M322" i="4"/>
  <c r="M317" i="4"/>
  <c r="P322" i="4"/>
  <c r="P317" i="4"/>
  <c r="AF322" i="4"/>
  <c r="AF317" i="4"/>
  <c r="G322" i="4"/>
  <c r="G317" i="4"/>
  <c r="V322" i="4"/>
  <c r="V317" i="4"/>
  <c r="L317" i="4"/>
  <c r="L322" i="4"/>
  <c r="P547" i="4"/>
  <c r="P552" i="4"/>
  <c r="R552" i="4" s="1"/>
  <c r="U552" i="4" s="1"/>
  <c r="P549" i="4"/>
  <c r="R549" i="4" s="1"/>
  <c r="U549" i="4" s="1"/>
  <c r="P551" i="4"/>
  <c r="R551" i="4" s="1"/>
  <c r="U551" i="4" s="1"/>
  <c r="P548" i="4"/>
  <c r="R548" i="4" s="1"/>
  <c r="U548" i="4" s="1"/>
  <c r="P550" i="4"/>
  <c r="R550" i="4" s="1"/>
  <c r="U550" i="4" s="1"/>
  <c r="P545" i="4"/>
  <c r="R545" i="4" s="1"/>
  <c r="R407" i="4"/>
  <c r="R409" i="4"/>
  <c r="R400" i="4"/>
  <c r="R411" i="4"/>
  <c r="R405" i="4"/>
  <c r="R408" i="4"/>
  <c r="R410" i="4"/>
  <c r="R401" i="4"/>
  <c r="R402" i="4"/>
  <c r="R406" i="4"/>
  <c r="R404" i="4"/>
  <c r="T317" i="4"/>
  <c r="T322" i="4"/>
  <c r="Q317" i="4"/>
  <c r="Q322" i="4"/>
  <c r="F317" i="4"/>
  <c r="F322" i="4"/>
  <c r="A314" i="4"/>
  <c r="S317" i="4"/>
  <c r="S322" i="4"/>
  <c r="U317" i="4"/>
  <c r="U322" i="4"/>
  <c r="O409" i="4" l="1"/>
  <c r="O465" i="4" s="1"/>
  <c r="O402" i="4"/>
  <c r="O458" i="4" s="1"/>
  <c r="O400" i="4"/>
  <c r="R462" i="4"/>
  <c r="R458" i="4"/>
  <c r="R473" i="4" s="1"/>
  <c r="R457" i="4"/>
  <c r="R466" i="4"/>
  <c r="R464" i="4"/>
  <c r="R461" i="4"/>
  <c r="R467" i="4"/>
  <c r="R465" i="4"/>
  <c r="R463" i="4"/>
  <c r="O457" i="4"/>
  <c r="K458" i="4"/>
  <c r="K473" i="4" s="1"/>
  <c r="I466" i="4"/>
  <c r="R456" i="4"/>
  <c r="O456" i="4"/>
  <c r="I401" i="4"/>
  <c r="I404" i="4"/>
  <c r="O406" i="4"/>
  <c r="O405" i="4"/>
  <c r="O407" i="4"/>
  <c r="O411" i="4"/>
  <c r="O404" i="4"/>
  <c r="O410" i="4"/>
  <c r="K406" i="4"/>
  <c r="K410" i="4"/>
  <c r="O408" i="4"/>
  <c r="K411" i="4"/>
  <c r="I411" i="4"/>
  <c r="K404" i="4"/>
  <c r="K408" i="4"/>
  <c r="I407" i="4"/>
  <c r="K405" i="4"/>
  <c r="I406" i="4"/>
  <c r="K401" i="4"/>
  <c r="I400" i="4"/>
  <c r="I409" i="4"/>
  <c r="I408" i="4"/>
  <c r="I402" i="4"/>
  <c r="K409" i="4"/>
  <c r="K400" i="4"/>
  <c r="I405" i="4"/>
  <c r="K407" i="4"/>
  <c r="A317" i="4"/>
  <c r="R460" i="4"/>
  <c r="R412" i="4"/>
  <c r="N402" i="4"/>
  <c r="N408" i="4"/>
  <c r="N409" i="4"/>
  <c r="N404" i="4"/>
  <c r="N407" i="4"/>
  <c r="N411" i="4"/>
  <c r="N405" i="4"/>
  <c r="N401" i="4"/>
  <c r="N406" i="4"/>
  <c r="N410" i="4"/>
  <c r="N400" i="4"/>
  <c r="U400" i="4"/>
  <c r="U410" i="4"/>
  <c r="U404" i="4"/>
  <c r="U407" i="4"/>
  <c r="U402" i="4"/>
  <c r="U408" i="4"/>
  <c r="U401" i="4"/>
  <c r="U411" i="4"/>
  <c r="U409" i="4"/>
  <c r="U406" i="4"/>
  <c r="U405" i="4"/>
  <c r="P553" i="4"/>
  <c r="R547" i="4"/>
  <c r="S400" i="4"/>
  <c r="S409" i="4"/>
  <c r="S402" i="4"/>
  <c r="S405" i="4"/>
  <c r="S408" i="4"/>
  <c r="S411" i="4"/>
  <c r="S401" i="4"/>
  <c r="S404" i="4"/>
  <c r="S410" i="4"/>
  <c r="S407" i="4"/>
  <c r="S406" i="4"/>
  <c r="L410" i="4"/>
  <c r="L404" i="4"/>
  <c r="L407" i="4"/>
  <c r="L405" i="4"/>
  <c r="L400" i="4"/>
  <c r="L408" i="4"/>
  <c r="L402" i="4"/>
  <c r="L401" i="4"/>
  <c r="L411" i="4"/>
  <c r="L406" i="4"/>
  <c r="L409" i="4"/>
  <c r="G406" i="4"/>
  <c r="G402" i="4"/>
  <c r="G400" i="4"/>
  <c r="G407" i="4"/>
  <c r="G405" i="4"/>
  <c r="G409" i="4"/>
  <c r="G408" i="4"/>
  <c r="G410" i="4"/>
  <c r="G404" i="4"/>
  <c r="G401" i="4"/>
  <c r="G411" i="4"/>
  <c r="H406" i="4"/>
  <c r="H400" i="4"/>
  <c r="H407" i="4"/>
  <c r="H411" i="4"/>
  <c r="H408" i="4"/>
  <c r="H409" i="4"/>
  <c r="H404" i="4"/>
  <c r="H401" i="4"/>
  <c r="H405" i="4"/>
  <c r="H410" i="4"/>
  <c r="H402" i="4"/>
  <c r="AF409" i="4"/>
  <c r="AF465" i="4" s="1"/>
  <c r="AF410" i="4"/>
  <c r="AF466" i="4" s="1"/>
  <c r="AF404" i="4"/>
  <c r="AF407" i="4"/>
  <c r="AF463" i="4" s="1"/>
  <c r="AF402" i="4"/>
  <c r="AF458" i="4" s="1"/>
  <c r="AF406" i="4"/>
  <c r="AF462" i="4" s="1"/>
  <c r="AF401" i="4"/>
  <c r="AF457" i="4" s="1"/>
  <c r="AF411" i="4"/>
  <c r="AF467" i="4" s="1"/>
  <c r="AF405" i="4"/>
  <c r="AF461" i="4" s="1"/>
  <c r="AF400" i="4"/>
  <c r="AF456" i="4" s="1"/>
  <c r="AF408" i="4"/>
  <c r="AF464" i="4" s="1"/>
  <c r="A322" i="4"/>
  <c r="J400" i="4"/>
  <c r="J409" i="4"/>
  <c r="J406" i="4"/>
  <c r="J410" i="4"/>
  <c r="J402" i="4"/>
  <c r="J401" i="4"/>
  <c r="J407" i="4"/>
  <c r="J408" i="4"/>
  <c r="J405" i="4"/>
  <c r="J404" i="4"/>
  <c r="J411" i="4"/>
  <c r="U545" i="4"/>
  <c r="V400" i="4"/>
  <c r="P408" i="4"/>
  <c r="P405" i="4"/>
  <c r="P402" i="4"/>
  <c r="P400" i="4"/>
  <c r="P409" i="4"/>
  <c r="P411" i="4"/>
  <c r="P401" i="4"/>
  <c r="P410" i="4"/>
  <c r="P407" i="4"/>
  <c r="P404" i="4"/>
  <c r="P406" i="4"/>
  <c r="Q401" i="4"/>
  <c r="Q411" i="4"/>
  <c r="Q404" i="4"/>
  <c r="Q407" i="4"/>
  <c r="Q400" i="4"/>
  <c r="Q410" i="4"/>
  <c r="Q405" i="4"/>
  <c r="Q409" i="4"/>
  <c r="Q402" i="4"/>
  <c r="Q406" i="4"/>
  <c r="Q408" i="4"/>
  <c r="T402" i="4"/>
  <c r="T406" i="4"/>
  <c r="T408" i="4"/>
  <c r="T401" i="4"/>
  <c r="T409" i="4"/>
  <c r="T400" i="4"/>
  <c r="T411" i="4"/>
  <c r="T405" i="4"/>
  <c r="T404" i="4"/>
  <c r="T410" i="4"/>
  <c r="T407" i="4"/>
  <c r="M411" i="4"/>
  <c r="M409" i="4"/>
  <c r="M404" i="4"/>
  <c r="M408" i="4"/>
  <c r="M406" i="4"/>
  <c r="M410" i="4"/>
  <c r="M405" i="4"/>
  <c r="M400" i="4"/>
  <c r="M407" i="4"/>
  <c r="M401" i="4"/>
  <c r="M402" i="4"/>
  <c r="AE407" i="4"/>
  <c r="AE463" i="4" s="1"/>
  <c r="AE411" i="4"/>
  <c r="AE467" i="4" s="1"/>
  <c r="AE408" i="4"/>
  <c r="AE464" i="4" s="1"/>
  <c r="AE402" i="4"/>
  <c r="AE458" i="4" s="1"/>
  <c r="AE404" i="4"/>
  <c r="AE400" i="4"/>
  <c r="AE456" i="4" s="1"/>
  <c r="AE405" i="4"/>
  <c r="AE461" i="4" s="1"/>
  <c r="AE401" i="4"/>
  <c r="AE457" i="4" s="1"/>
  <c r="AE406" i="4"/>
  <c r="AE462" i="4" s="1"/>
  <c r="AE409" i="4"/>
  <c r="AE465" i="4" s="1"/>
  <c r="AE410" i="4"/>
  <c r="AE466" i="4" s="1"/>
  <c r="R488" i="4" l="1"/>
  <c r="R494" i="4"/>
  <c r="O473" i="4"/>
  <c r="K488" i="4"/>
  <c r="I460" i="4"/>
  <c r="U461" i="4"/>
  <c r="U462" i="4"/>
  <c r="U465" i="4"/>
  <c r="U467" i="4"/>
  <c r="U457" i="4"/>
  <c r="U464" i="4"/>
  <c r="U458" i="4"/>
  <c r="U463" i="4"/>
  <c r="U466" i="4"/>
  <c r="T463" i="4"/>
  <c r="T466" i="4"/>
  <c r="T461" i="4"/>
  <c r="T467" i="4"/>
  <c r="T465" i="4"/>
  <c r="T457" i="4"/>
  <c r="T464" i="4"/>
  <c r="T462" i="4"/>
  <c r="T458" i="4"/>
  <c r="T473" i="4" s="1"/>
  <c r="S462" i="4"/>
  <c r="S463" i="4"/>
  <c r="S466" i="4"/>
  <c r="S457" i="4"/>
  <c r="S467" i="4"/>
  <c r="S464" i="4"/>
  <c r="S461" i="4"/>
  <c r="S458" i="4"/>
  <c r="S473" i="4" s="1"/>
  <c r="S465" i="4"/>
  <c r="R413" i="4"/>
  <c r="Q464" i="4"/>
  <c r="Q462" i="4"/>
  <c r="Q458" i="4"/>
  <c r="Q473" i="4" s="1"/>
  <c r="Q465" i="4"/>
  <c r="Q461" i="4"/>
  <c r="Q466" i="4"/>
  <c r="Q463" i="4"/>
  <c r="Q467" i="4"/>
  <c r="Q457" i="4"/>
  <c r="P462" i="4"/>
  <c r="P463" i="4"/>
  <c r="P466" i="4"/>
  <c r="P457" i="4"/>
  <c r="P467" i="4"/>
  <c r="P465" i="4"/>
  <c r="P458" i="4"/>
  <c r="P461" i="4"/>
  <c r="P464" i="4"/>
  <c r="O464" i="4"/>
  <c r="O466" i="4"/>
  <c r="O460" i="4"/>
  <c r="O467" i="4"/>
  <c r="O463" i="4"/>
  <c r="O461" i="4"/>
  <c r="O462" i="4"/>
  <c r="N466" i="4"/>
  <c r="N462" i="4"/>
  <c r="N457" i="4"/>
  <c r="N461" i="4"/>
  <c r="N467" i="4"/>
  <c r="N463" i="4"/>
  <c r="N465" i="4"/>
  <c r="N464" i="4"/>
  <c r="N458" i="4"/>
  <c r="N473" i="4" s="1"/>
  <c r="M458" i="4"/>
  <c r="M473" i="4" s="1"/>
  <c r="M457" i="4"/>
  <c r="M463" i="4"/>
  <c r="M461" i="4"/>
  <c r="M466" i="4"/>
  <c r="M462" i="4"/>
  <c r="M464" i="4"/>
  <c r="M465" i="4"/>
  <c r="M467" i="4"/>
  <c r="L465" i="4"/>
  <c r="L462" i="4"/>
  <c r="L467" i="4"/>
  <c r="L457" i="4"/>
  <c r="L458" i="4"/>
  <c r="L473" i="4" s="1"/>
  <c r="L464" i="4"/>
  <c r="L461" i="4"/>
  <c r="L463" i="4"/>
  <c r="L466" i="4"/>
  <c r="K463" i="4"/>
  <c r="K465" i="4"/>
  <c r="K457" i="4"/>
  <c r="K461" i="4"/>
  <c r="K464" i="4"/>
  <c r="K460" i="4"/>
  <c r="K467" i="4"/>
  <c r="K466" i="4"/>
  <c r="K462" i="4"/>
  <c r="J467" i="4"/>
  <c r="J461" i="4"/>
  <c r="J464" i="4"/>
  <c r="J463" i="4"/>
  <c r="J457" i="4"/>
  <c r="J458" i="4"/>
  <c r="J466" i="4"/>
  <c r="J462" i="4"/>
  <c r="J465" i="4"/>
  <c r="I461" i="4"/>
  <c r="I458" i="4"/>
  <c r="I464" i="4"/>
  <c r="I465" i="4"/>
  <c r="I462" i="4"/>
  <c r="I463" i="4"/>
  <c r="I467" i="4"/>
  <c r="I457" i="4"/>
  <c r="H458" i="4"/>
  <c r="H466" i="4"/>
  <c r="H461" i="4"/>
  <c r="H457" i="4"/>
  <c r="H465" i="4"/>
  <c r="H464" i="4"/>
  <c r="H467" i="4"/>
  <c r="H463" i="4"/>
  <c r="H462" i="4"/>
  <c r="M456" i="4"/>
  <c r="T456" i="4"/>
  <c r="Q456" i="4"/>
  <c r="P456" i="4"/>
  <c r="J456" i="4"/>
  <c r="H456" i="4"/>
  <c r="L456" i="4"/>
  <c r="S456" i="4"/>
  <c r="U456" i="4"/>
  <c r="N456" i="4"/>
  <c r="K456" i="4"/>
  <c r="I456" i="4"/>
  <c r="O412" i="4"/>
  <c r="K412" i="4"/>
  <c r="I412" i="4"/>
  <c r="M460" i="4"/>
  <c r="M412" i="4"/>
  <c r="Q460" i="4"/>
  <c r="Q412" i="4"/>
  <c r="AE471" i="4"/>
  <c r="AE486" i="4" s="1"/>
  <c r="AF478" i="4"/>
  <c r="AF493" i="4" s="1"/>
  <c r="G462" i="4"/>
  <c r="F406" i="4"/>
  <c r="AE460" i="4"/>
  <c r="AE412" i="4"/>
  <c r="AE413" i="4" s="1"/>
  <c r="AF460" i="4"/>
  <c r="AF412" i="4"/>
  <c r="AF413" i="4" s="1"/>
  <c r="AE473" i="4"/>
  <c r="AE488" i="4" s="1"/>
  <c r="AF481" i="4"/>
  <c r="AF496" i="4" s="1"/>
  <c r="AE479" i="4"/>
  <c r="AE494" i="4" s="1"/>
  <c r="AF480" i="4"/>
  <c r="AF495" i="4" s="1"/>
  <c r="AE482" i="4"/>
  <c r="AE497" i="4" s="1"/>
  <c r="G467" i="4"/>
  <c r="F411" i="4"/>
  <c r="L460" i="4"/>
  <c r="L412" i="4"/>
  <c r="AE478" i="4"/>
  <c r="AE493" i="4" s="1"/>
  <c r="G457" i="4"/>
  <c r="J460" i="4"/>
  <c r="J412" i="4"/>
  <c r="F404" i="4"/>
  <c r="G460" i="4"/>
  <c r="G412" i="4"/>
  <c r="AF479" i="4"/>
  <c r="AF494" i="4" s="1"/>
  <c r="G466" i="4"/>
  <c r="F410" i="4"/>
  <c r="N412" i="4"/>
  <c r="N460" i="4"/>
  <c r="AF471" i="4"/>
  <c r="AF486" i="4" s="1"/>
  <c r="G464" i="4"/>
  <c r="F408" i="4"/>
  <c r="AE481" i="4"/>
  <c r="AE496" i="4" s="1"/>
  <c r="AF476" i="4"/>
  <c r="AF491" i="4" s="1"/>
  <c r="F409" i="4"/>
  <c r="G465" i="4"/>
  <c r="AE480" i="4"/>
  <c r="AE495" i="4" s="1"/>
  <c r="P412" i="4"/>
  <c r="P460" i="4"/>
  <c r="V456" i="4"/>
  <c r="AF482" i="4"/>
  <c r="AF497" i="4" s="1"/>
  <c r="G461" i="4"/>
  <c r="F405" i="4"/>
  <c r="AE477" i="4"/>
  <c r="AE492" i="4" s="1"/>
  <c r="T412" i="4"/>
  <c r="T460" i="4"/>
  <c r="J473" i="4"/>
  <c r="AF472" i="4"/>
  <c r="AF487" i="4" s="1"/>
  <c r="H460" i="4"/>
  <c r="H412" i="4"/>
  <c r="G463" i="4"/>
  <c r="F407" i="4"/>
  <c r="R553" i="4"/>
  <c r="U547" i="4"/>
  <c r="U460" i="4"/>
  <c r="U412" i="4"/>
  <c r="R468" i="4"/>
  <c r="AE472" i="4"/>
  <c r="AE487" i="4" s="1"/>
  <c r="AF477" i="4"/>
  <c r="AF492" i="4" s="1"/>
  <c r="G456" i="4"/>
  <c r="F400" i="4"/>
  <c r="AE476" i="4"/>
  <c r="AE491" i="4" s="1"/>
  <c r="AF473" i="4"/>
  <c r="AF488" i="4" s="1"/>
  <c r="G458" i="4"/>
  <c r="F402" i="4"/>
  <c r="S460" i="4"/>
  <c r="S412" i="4"/>
  <c r="I468" i="4" l="1"/>
  <c r="I469" i="4" s="1"/>
  <c r="U473" i="4"/>
  <c r="U494" i="4"/>
  <c r="T488" i="4"/>
  <c r="T494" i="4"/>
  <c r="S488" i="4"/>
  <c r="S494" i="4"/>
  <c r="R469" i="4"/>
  <c r="Q488" i="4"/>
  <c r="Q494" i="4"/>
  <c r="P494" i="4"/>
  <c r="P473" i="4"/>
  <c r="O494" i="4"/>
  <c r="O488" i="4"/>
  <c r="N488" i="4"/>
  <c r="N494" i="4"/>
  <c r="M488" i="4"/>
  <c r="M494" i="4"/>
  <c r="L488" i="4"/>
  <c r="L494" i="4"/>
  <c r="K494" i="4"/>
  <c r="J488" i="4"/>
  <c r="J494" i="4"/>
  <c r="I494" i="4"/>
  <c r="I473" i="4"/>
  <c r="H494" i="4"/>
  <c r="H473" i="4"/>
  <c r="P482" i="4"/>
  <c r="O468" i="4"/>
  <c r="K468" i="4"/>
  <c r="S476" i="4"/>
  <c r="H477" i="4"/>
  <c r="M480" i="4"/>
  <c r="U413" i="4"/>
  <c r="T413" i="4"/>
  <c r="S413" i="4"/>
  <c r="R329" i="4"/>
  <c r="Q413" i="4"/>
  <c r="P413" i="4"/>
  <c r="O413" i="4"/>
  <c r="N413" i="4"/>
  <c r="M413" i="4"/>
  <c r="L413" i="4"/>
  <c r="K413" i="4"/>
  <c r="J413" i="4"/>
  <c r="I413" i="4"/>
  <c r="H413" i="4"/>
  <c r="G413" i="4"/>
  <c r="Q480" i="4"/>
  <c r="N482" i="4"/>
  <c r="T471" i="4"/>
  <c r="U480" i="4"/>
  <c r="J476" i="4"/>
  <c r="S480" i="4"/>
  <c r="P477" i="4"/>
  <c r="U482" i="4"/>
  <c r="U477" i="4"/>
  <c r="N471" i="4"/>
  <c r="M477" i="4"/>
  <c r="N477" i="4"/>
  <c r="Q476" i="4"/>
  <c r="Q477" i="4"/>
  <c r="H482" i="4"/>
  <c r="M476" i="4"/>
  <c r="M482" i="4"/>
  <c r="J482" i="4"/>
  <c r="P476" i="4"/>
  <c r="L480" i="4"/>
  <c r="F412" i="4"/>
  <c r="T477" i="4"/>
  <c r="S482" i="4"/>
  <c r="J477" i="4"/>
  <c r="T482" i="4"/>
  <c r="S477" i="4"/>
  <c r="L482" i="4"/>
  <c r="L477" i="4"/>
  <c r="H476" i="4"/>
  <c r="N476" i="4"/>
  <c r="T480" i="4"/>
  <c r="G478" i="4"/>
  <c r="F463" i="4"/>
  <c r="V478" i="4"/>
  <c r="K478" i="4"/>
  <c r="O478" i="4"/>
  <c r="I478" i="4"/>
  <c r="R478" i="4"/>
  <c r="J478" i="4"/>
  <c r="F464" i="4"/>
  <c r="G494" i="4"/>
  <c r="F466" i="4"/>
  <c r="G481" i="4"/>
  <c r="V481" i="4"/>
  <c r="R481" i="4"/>
  <c r="I481" i="4"/>
  <c r="K481" i="4"/>
  <c r="O481" i="4"/>
  <c r="S468" i="4"/>
  <c r="S475" i="4"/>
  <c r="J481" i="4"/>
  <c r="R475" i="4"/>
  <c r="H475" i="4"/>
  <c r="H468" i="4"/>
  <c r="H481" i="4"/>
  <c r="S471" i="4"/>
  <c r="L471" i="4"/>
  <c r="P471" i="4"/>
  <c r="G475" i="4"/>
  <c r="F460" i="4"/>
  <c r="G468" i="4"/>
  <c r="V475" i="4"/>
  <c r="H478" i="4"/>
  <c r="F458" i="4"/>
  <c r="G473" i="4"/>
  <c r="U481" i="4"/>
  <c r="T478" i="4"/>
  <c r="L481" i="4"/>
  <c r="AE475" i="4"/>
  <c r="AE483" i="4" s="1"/>
  <c r="AE484" i="4" s="1"/>
  <c r="AE468" i="4"/>
  <c r="AE469" i="4" s="1"/>
  <c r="S481" i="4"/>
  <c r="U475" i="4"/>
  <c r="U468" i="4"/>
  <c r="U478" i="4"/>
  <c r="V471" i="4"/>
  <c r="P481" i="4"/>
  <c r="U553" i="4"/>
  <c r="P478" i="4"/>
  <c r="P475" i="4"/>
  <c r="P468" i="4"/>
  <c r="G480" i="4"/>
  <c r="F465" i="4"/>
  <c r="V480" i="4"/>
  <c r="I480" i="4"/>
  <c r="O480" i="4"/>
  <c r="K480" i="4"/>
  <c r="R480" i="4"/>
  <c r="M471" i="4"/>
  <c r="J468" i="4"/>
  <c r="J475" i="4"/>
  <c r="AF475" i="4"/>
  <c r="AF483" i="4" s="1"/>
  <c r="AF484" i="4" s="1"/>
  <c r="AF468" i="4"/>
  <c r="AF469" i="4" s="1"/>
  <c r="F462" i="4"/>
  <c r="G477" i="4"/>
  <c r="V477" i="4"/>
  <c r="R477" i="4"/>
  <c r="I477" i="4"/>
  <c r="K477" i="4"/>
  <c r="O477" i="4"/>
  <c r="V401" i="4"/>
  <c r="R554" i="4"/>
  <c r="M478" i="4"/>
  <c r="O475" i="4"/>
  <c r="J480" i="4"/>
  <c r="U471" i="4"/>
  <c r="Q471" i="4"/>
  <c r="S478" i="4"/>
  <c r="N475" i="4"/>
  <c r="N468" i="4"/>
  <c r="U476" i="4"/>
  <c r="J471" i="4"/>
  <c r="Q481" i="4"/>
  <c r="I475" i="4"/>
  <c r="L476" i="4"/>
  <c r="P480" i="4"/>
  <c r="F456" i="4"/>
  <c r="G471" i="4"/>
  <c r="O471" i="4"/>
  <c r="I471" i="4"/>
  <c r="R471" i="4"/>
  <c r="K471" i="4"/>
  <c r="T476" i="4"/>
  <c r="T468" i="4"/>
  <c r="T475" i="4"/>
  <c r="T481" i="4"/>
  <c r="N480" i="4"/>
  <c r="N478" i="4"/>
  <c r="L468" i="4"/>
  <c r="L475" i="4"/>
  <c r="Q475" i="4"/>
  <c r="Q468" i="4"/>
  <c r="K475" i="4"/>
  <c r="Q478" i="4"/>
  <c r="G476" i="4"/>
  <c r="F461" i="4"/>
  <c r="V476" i="4"/>
  <c r="I476" i="4"/>
  <c r="O476" i="4"/>
  <c r="K476" i="4"/>
  <c r="R476" i="4"/>
  <c r="L478" i="4"/>
  <c r="H471" i="4"/>
  <c r="Q482" i="4"/>
  <c r="H480" i="4"/>
  <c r="M481" i="4"/>
  <c r="G482" i="4"/>
  <c r="F467" i="4"/>
  <c r="V482" i="4"/>
  <c r="K482" i="4"/>
  <c r="O482" i="4"/>
  <c r="I482" i="4"/>
  <c r="R482" i="4"/>
  <c r="N481" i="4"/>
  <c r="M475" i="4"/>
  <c r="M468" i="4"/>
  <c r="V497" i="4" l="1"/>
  <c r="V491" i="4"/>
  <c r="V492" i="4"/>
  <c r="V495" i="4"/>
  <c r="V545" i="4"/>
  <c r="F545" i="4" s="1"/>
  <c r="V496" i="4"/>
  <c r="V493" i="4"/>
  <c r="U491" i="4"/>
  <c r="U486" i="4"/>
  <c r="U493" i="4"/>
  <c r="U469" i="4"/>
  <c r="U496" i="4"/>
  <c r="U492" i="4"/>
  <c r="U497" i="4"/>
  <c r="U495" i="4"/>
  <c r="U488" i="4"/>
  <c r="T496" i="4"/>
  <c r="T469" i="4"/>
  <c r="T491" i="4"/>
  <c r="T493" i="4"/>
  <c r="T495" i="4"/>
  <c r="T497" i="4"/>
  <c r="T492" i="4"/>
  <c r="T486" i="4"/>
  <c r="S493" i="4"/>
  <c r="S496" i="4"/>
  <c r="S486" i="4"/>
  <c r="S469" i="4"/>
  <c r="S492" i="4"/>
  <c r="S497" i="4"/>
  <c r="S495" i="4"/>
  <c r="S491" i="4"/>
  <c r="R497" i="4"/>
  <c r="R491" i="4"/>
  <c r="R486" i="4"/>
  <c r="R492" i="4"/>
  <c r="R495" i="4"/>
  <c r="R496" i="4"/>
  <c r="R493" i="4"/>
  <c r="Q497" i="4"/>
  <c r="Q493" i="4"/>
  <c r="Q469" i="4"/>
  <c r="Q490" i="4"/>
  <c r="Q496" i="4"/>
  <c r="Q486" i="4"/>
  <c r="Q492" i="4"/>
  <c r="Q491" i="4"/>
  <c r="Q495" i="4"/>
  <c r="P495" i="4"/>
  <c r="P469" i="4"/>
  <c r="P490" i="4"/>
  <c r="P493" i="4"/>
  <c r="P496" i="4"/>
  <c r="P486" i="4"/>
  <c r="P491" i="4"/>
  <c r="P492" i="4"/>
  <c r="P497" i="4"/>
  <c r="P488" i="4"/>
  <c r="O497" i="4"/>
  <c r="O491" i="4"/>
  <c r="O486" i="4"/>
  <c r="O492" i="4"/>
  <c r="O495" i="4"/>
  <c r="O496" i="4"/>
  <c r="O493" i="4"/>
  <c r="O469" i="4"/>
  <c r="N496" i="4"/>
  <c r="N493" i="4"/>
  <c r="N495" i="4"/>
  <c r="N469" i="4"/>
  <c r="N491" i="4"/>
  <c r="N492" i="4"/>
  <c r="N486" i="4"/>
  <c r="N497" i="4"/>
  <c r="M469" i="4"/>
  <c r="M496" i="4"/>
  <c r="M493" i="4"/>
  <c r="M486" i="4"/>
  <c r="M497" i="4"/>
  <c r="M491" i="4"/>
  <c r="M492" i="4"/>
  <c r="M495" i="4"/>
  <c r="L493" i="4"/>
  <c r="L490" i="4"/>
  <c r="L469" i="4"/>
  <c r="L491" i="4"/>
  <c r="L496" i="4"/>
  <c r="L486" i="4"/>
  <c r="L492" i="4"/>
  <c r="L497" i="4"/>
  <c r="L495" i="4"/>
  <c r="K497" i="4"/>
  <c r="K491" i="4"/>
  <c r="K486" i="4"/>
  <c r="K492" i="4"/>
  <c r="K495" i="4"/>
  <c r="K496" i="4"/>
  <c r="K493" i="4"/>
  <c r="K469" i="4"/>
  <c r="J486" i="4"/>
  <c r="J495" i="4"/>
  <c r="J469" i="4"/>
  <c r="J496" i="4"/>
  <c r="J493" i="4"/>
  <c r="J492" i="4"/>
  <c r="J497" i="4"/>
  <c r="J491" i="4"/>
  <c r="I497" i="4"/>
  <c r="I491" i="4"/>
  <c r="I486" i="4"/>
  <c r="I492" i="4"/>
  <c r="I495" i="4"/>
  <c r="I496" i="4"/>
  <c r="I493" i="4"/>
  <c r="I488" i="4"/>
  <c r="H495" i="4"/>
  <c r="H486" i="4"/>
  <c r="H493" i="4"/>
  <c r="H496" i="4"/>
  <c r="H469" i="4"/>
  <c r="H490" i="4"/>
  <c r="H491" i="4"/>
  <c r="H497" i="4"/>
  <c r="H492" i="4"/>
  <c r="H488" i="4"/>
  <c r="G497" i="4"/>
  <c r="G492" i="4"/>
  <c r="G495" i="4"/>
  <c r="F473" i="4"/>
  <c r="G469" i="4"/>
  <c r="G490" i="4"/>
  <c r="G496" i="4"/>
  <c r="F494" i="4"/>
  <c r="U329" i="4"/>
  <c r="T329" i="4"/>
  <c r="S329" i="4"/>
  <c r="Q329" i="4"/>
  <c r="P329" i="4"/>
  <c r="O329" i="4"/>
  <c r="N329" i="4"/>
  <c r="M329" i="4"/>
  <c r="L329" i="4"/>
  <c r="K329" i="4"/>
  <c r="J329" i="4"/>
  <c r="I329" i="4"/>
  <c r="H329" i="4"/>
  <c r="G329" i="4"/>
  <c r="A412" i="4"/>
  <c r="AF490" i="4"/>
  <c r="AF498" i="4" s="1"/>
  <c r="AF499" i="4" s="1"/>
  <c r="N483" i="4"/>
  <c r="G488" i="4"/>
  <c r="N490" i="4"/>
  <c r="F481" i="4"/>
  <c r="V486" i="4"/>
  <c r="F476" i="4"/>
  <c r="T483" i="4"/>
  <c r="F477" i="4"/>
  <c r="H483" i="4"/>
  <c r="G491" i="4"/>
  <c r="T490" i="4"/>
  <c r="R483" i="4"/>
  <c r="R490" i="4"/>
  <c r="F482" i="4"/>
  <c r="F480" i="4"/>
  <c r="U483" i="4"/>
  <c r="K483" i="4"/>
  <c r="K490" i="4"/>
  <c r="U490" i="4"/>
  <c r="V483" i="4"/>
  <c r="V490" i="4"/>
  <c r="S483" i="4"/>
  <c r="O483" i="4"/>
  <c r="O490" i="4"/>
  <c r="S490" i="4"/>
  <c r="J483" i="4"/>
  <c r="P483" i="4"/>
  <c r="M483" i="4"/>
  <c r="Q483" i="4"/>
  <c r="I483" i="4"/>
  <c r="I490" i="4"/>
  <c r="F468" i="4"/>
  <c r="M490" i="4"/>
  <c r="L483" i="4"/>
  <c r="V457" i="4"/>
  <c r="F401" i="4"/>
  <c r="V413" i="4"/>
  <c r="J490" i="4"/>
  <c r="AE490" i="4"/>
  <c r="AE498" i="4" s="1"/>
  <c r="AE499" i="4" s="1"/>
  <c r="F475" i="4"/>
  <c r="G483" i="4"/>
  <c r="F471" i="4"/>
  <c r="U554" i="4"/>
  <c r="G486" i="4"/>
  <c r="F478" i="4"/>
  <c r="G493" i="4"/>
  <c r="F495" i="4" l="1"/>
  <c r="L498" i="4"/>
  <c r="H498" i="4"/>
  <c r="P498" i="4"/>
  <c r="Q498" i="4"/>
  <c r="F496" i="4"/>
  <c r="F497" i="4"/>
  <c r="F492" i="4"/>
  <c r="V498" i="4"/>
  <c r="U498" i="4"/>
  <c r="T498" i="4"/>
  <c r="S498" i="4"/>
  <c r="R498" i="4"/>
  <c r="O498" i="4"/>
  <c r="N498" i="4"/>
  <c r="M498" i="4"/>
  <c r="K498" i="4"/>
  <c r="J498" i="4"/>
  <c r="I498" i="4"/>
  <c r="F493" i="4"/>
  <c r="F491" i="4"/>
  <c r="F488" i="4"/>
  <c r="V329" i="4"/>
  <c r="F413" i="4"/>
  <c r="F329" i="4" s="1"/>
  <c r="A468" i="4"/>
  <c r="F483" i="4"/>
  <c r="F486" i="4"/>
  <c r="F490" i="4"/>
  <c r="V472" i="4"/>
  <c r="P472" i="4"/>
  <c r="M472" i="4"/>
  <c r="L472" i="4"/>
  <c r="T472" i="4"/>
  <c r="S472" i="4"/>
  <c r="N472" i="4"/>
  <c r="Q472" i="4"/>
  <c r="J472" i="4"/>
  <c r="H472" i="4"/>
  <c r="G472" i="4"/>
  <c r="F457" i="4"/>
  <c r="O472" i="4"/>
  <c r="K472" i="4"/>
  <c r="I472" i="4"/>
  <c r="R472" i="4"/>
  <c r="V469" i="4"/>
  <c r="U472" i="4"/>
  <c r="G498" i="4"/>
  <c r="A413" i="4" l="1"/>
  <c r="V553" i="4"/>
  <c r="V550" i="4" s="1"/>
  <c r="F550" i="4" s="1"/>
  <c r="U487" i="4"/>
  <c r="T487" i="4"/>
  <c r="S487" i="4"/>
  <c r="R487" i="4"/>
  <c r="Q487" i="4"/>
  <c r="P487" i="4"/>
  <c r="O487" i="4"/>
  <c r="M487" i="4"/>
  <c r="L487" i="4"/>
  <c r="K487" i="4"/>
  <c r="J487" i="4"/>
  <c r="I487" i="4"/>
  <c r="H487" i="4"/>
  <c r="G484" i="4"/>
  <c r="F469" i="4"/>
  <c r="F498" i="4"/>
  <c r="D198" i="5"/>
  <c r="D166" i="5"/>
  <c r="I118" i="5"/>
  <c r="F118" i="5"/>
  <c r="H118" i="5" s="1"/>
  <c r="I159" i="5"/>
  <c r="F159" i="5"/>
  <c r="H159" i="5" s="1"/>
  <c r="I124" i="5"/>
  <c r="F124" i="5"/>
  <c r="H124" i="5" s="1"/>
  <c r="I163" i="5"/>
  <c r="F163" i="5"/>
  <c r="H163" i="5" s="1"/>
  <c r="I192" i="5"/>
  <c r="F192" i="5"/>
  <c r="H192" i="5" s="1"/>
  <c r="I157" i="5"/>
  <c r="F157" i="5"/>
  <c r="H157" i="5" s="1"/>
  <c r="I155" i="5"/>
  <c r="F155" i="5"/>
  <c r="H155" i="5" s="1"/>
  <c r="I117" i="5"/>
  <c r="F117" i="5"/>
  <c r="H117" i="5" s="1"/>
  <c r="I162" i="5"/>
  <c r="F162" i="5"/>
  <c r="H162" i="5" s="1"/>
  <c r="D28" i="5"/>
  <c r="E244" i="5"/>
  <c r="E246" i="5" s="1"/>
  <c r="I156" i="5"/>
  <c r="F156" i="5"/>
  <c r="H156" i="5" s="1"/>
  <c r="I119" i="5"/>
  <c r="F119" i="5"/>
  <c r="H119" i="5" s="1"/>
  <c r="I194" i="5"/>
  <c r="F194" i="5"/>
  <c r="H194" i="5" s="1"/>
  <c r="I191" i="5"/>
  <c r="F191" i="5"/>
  <c r="H191" i="5" s="1"/>
  <c r="I123" i="5"/>
  <c r="F123" i="5"/>
  <c r="H123" i="5" s="1"/>
  <c r="I196" i="5"/>
  <c r="F196" i="5"/>
  <c r="H196" i="5" s="1"/>
  <c r="I126" i="5"/>
  <c r="F126" i="5"/>
  <c r="H126" i="5" s="1"/>
  <c r="I154" i="5"/>
  <c r="F154" i="5"/>
  <c r="H154" i="5" s="1"/>
  <c r="I116" i="5"/>
  <c r="F116" i="5"/>
  <c r="F220" i="5"/>
  <c r="D223" i="5"/>
  <c r="D27" i="5" s="1"/>
  <c r="I161" i="5"/>
  <c r="F161" i="5"/>
  <c r="H161" i="5" s="1"/>
  <c r="F221" i="5"/>
  <c r="H221" i="5" s="1"/>
  <c r="I221" i="5" s="1"/>
  <c r="C221" i="5"/>
  <c r="C223" i="5" s="1"/>
  <c r="I164" i="5"/>
  <c r="F164" i="5"/>
  <c r="H164" i="5" s="1"/>
  <c r="J484" i="4"/>
  <c r="Q484" i="4"/>
  <c r="V487" i="4"/>
  <c r="V484" i="4"/>
  <c r="I484" i="4"/>
  <c r="A469" i="4"/>
  <c r="H484" i="4"/>
  <c r="U484" i="4"/>
  <c r="V547" i="4"/>
  <c r="F547" i="4" s="1"/>
  <c r="V548" i="4"/>
  <c r="F548" i="4" s="1"/>
  <c r="V552" i="4"/>
  <c r="F552" i="4" s="1"/>
  <c r="V554" i="4"/>
  <c r="F554" i="4" s="1"/>
  <c r="F553" i="4"/>
  <c r="V549" i="4"/>
  <c r="F549" i="4" s="1"/>
  <c r="V551" i="4"/>
  <c r="F551" i="4" s="1"/>
  <c r="K484" i="4"/>
  <c r="P484" i="4"/>
  <c r="S484" i="4"/>
  <c r="F472" i="4"/>
  <c r="G487" i="4"/>
  <c r="R484" i="4"/>
  <c r="M484" i="4"/>
  <c r="O484" i="4"/>
  <c r="L484" i="4"/>
  <c r="N487" i="4"/>
  <c r="N484" i="4"/>
  <c r="T484" i="4"/>
  <c r="I28" i="5" l="1"/>
  <c r="V499" i="4"/>
  <c r="U499" i="4"/>
  <c r="T499" i="4"/>
  <c r="S499" i="4"/>
  <c r="R499" i="4"/>
  <c r="Q499" i="4"/>
  <c r="P499" i="4"/>
  <c r="O499" i="4"/>
  <c r="N499" i="4"/>
  <c r="M499" i="4"/>
  <c r="L499" i="4"/>
  <c r="K499" i="4"/>
  <c r="J499" i="4"/>
  <c r="I499" i="4"/>
  <c r="H499" i="4"/>
  <c r="F484" i="4"/>
  <c r="A484" i="4" s="1"/>
  <c r="F223" i="5"/>
  <c r="I198" i="5"/>
  <c r="D35" i="5"/>
  <c r="F198" i="5"/>
  <c r="H27" i="5"/>
  <c r="D34" i="5"/>
  <c r="I166" i="5"/>
  <c r="F166" i="5"/>
  <c r="E248" i="5"/>
  <c r="E249" i="5" s="1"/>
  <c r="E225" i="5"/>
  <c r="I193" i="5"/>
  <c r="F193" i="5"/>
  <c r="H193" i="5" s="1"/>
  <c r="H220" i="5"/>
  <c r="I82" i="5"/>
  <c r="I121" i="5"/>
  <c r="F121" i="5"/>
  <c r="H121" i="5" s="1"/>
  <c r="H116" i="5"/>
  <c r="I160" i="5"/>
  <c r="F160" i="5"/>
  <c r="H160" i="5" s="1"/>
  <c r="I120" i="5"/>
  <c r="F120" i="5"/>
  <c r="I78" i="5"/>
  <c r="C27" i="5"/>
  <c r="C237" i="5"/>
  <c r="D128" i="5"/>
  <c r="I79" i="5"/>
  <c r="I122" i="5"/>
  <c r="F122" i="5"/>
  <c r="H122" i="5" s="1"/>
  <c r="I158" i="5"/>
  <c r="F158" i="5"/>
  <c r="H158" i="5" s="1"/>
  <c r="D236" i="5"/>
  <c r="D21" i="5"/>
  <c r="D68" i="5"/>
  <c r="I68" i="5" s="1"/>
  <c r="I125" i="5"/>
  <c r="F125" i="5"/>
  <c r="H125" i="5" s="1"/>
  <c r="I195" i="5"/>
  <c r="F195" i="5"/>
  <c r="H195" i="5" s="1"/>
  <c r="F487" i="4"/>
  <c r="G499" i="4"/>
  <c r="C40" i="5" l="1"/>
  <c r="F128" i="5"/>
  <c r="H198" i="5"/>
  <c r="H166" i="5"/>
  <c r="D87" i="5"/>
  <c r="D32" i="5" s="1"/>
  <c r="I85" i="5"/>
  <c r="E28" i="5"/>
  <c r="E36" i="5"/>
  <c r="H225" i="5"/>
  <c r="I225" i="5" s="1"/>
  <c r="H271" i="5"/>
  <c r="E250" i="5"/>
  <c r="E232" i="5"/>
  <c r="E230" i="5"/>
  <c r="E228" i="5"/>
  <c r="E233" i="5"/>
  <c r="E231" i="5"/>
  <c r="E229" i="5"/>
  <c r="E234" i="5"/>
  <c r="H120" i="5"/>
  <c r="H128" i="5" s="1"/>
  <c r="I84" i="5"/>
  <c r="D33" i="5"/>
  <c r="I128" i="5"/>
  <c r="I220" i="5"/>
  <c r="H223" i="5"/>
  <c r="I34" i="5"/>
  <c r="F34" i="5"/>
  <c r="I83" i="5"/>
  <c r="C268" i="5"/>
  <c r="D320" i="5"/>
  <c r="D237" i="5"/>
  <c r="D29" i="5"/>
  <c r="I27" i="5"/>
  <c r="N27" i="5"/>
  <c r="Q27" i="5" s="1"/>
  <c r="I81" i="5"/>
  <c r="I80" i="5"/>
  <c r="D23" i="5"/>
  <c r="I35" i="5"/>
  <c r="F35" i="5"/>
  <c r="F499" i="4"/>
  <c r="H35" i="5" l="1"/>
  <c r="H34" i="5"/>
  <c r="A499" i="4"/>
  <c r="A13" i="4" s="1"/>
  <c r="I87" i="5"/>
  <c r="N35" i="5"/>
  <c r="Q35" i="5" s="1"/>
  <c r="N34" i="5"/>
  <c r="Q34" i="5" s="1"/>
  <c r="I29" i="5"/>
  <c r="I33" i="5"/>
  <c r="F33" i="5"/>
  <c r="I271" i="5"/>
  <c r="E268" i="5"/>
  <c r="F36" i="5"/>
  <c r="I23" i="5"/>
  <c r="E236" i="5"/>
  <c r="D38" i="5"/>
  <c r="I32" i="5"/>
  <c r="H36" i="5" l="1"/>
  <c r="H33" i="5"/>
  <c r="I38" i="5"/>
  <c r="E237" i="5"/>
  <c r="E29" i="5"/>
  <c r="E70" i="5"/>
  <c r="E73" i="5" s="1"/>
  <c r="E25" i="5" s="1"/>
  <c r="D73" i="5"/>
  <c r="E78" i="5"/>
  <c r="E66" i="5"/>
  <c r="E79" i="5"/>
  <c r="E82" i="5"/>
  <c r="E80" i="5"/>
  <c r="E85" i="5"/>
  <c r="E83" i="5"/>
  <c r="E84" i="5"/>
  <c r="E81" i="5"/>
  <c r="C269" i="5"/>
  <c r="D324" i="5"/>
  <c r="F271" i="5"/>
  <c r="N33" i="5" l="1"/>
  <c r="Q33" i="5" s="1"/>
  <c r="N36" i="5"/>
  <c r="Q36" i="5" s="1"/>
  <c r="F82" i="5"/>
  <c r="H82" i="5" s="1"/>
  <c r="F79" i="5"/>
  <c r="H79" i="5" s="1"/>
  <c r="E21" i="5"/>
  <c r="E68" i="5"/>
  <c r="E87" i="5"/>
  <c r="F78" i="5"/>
  <c r="H78" i="5" s="1"/>
  <c r="I73" i="5"/>
  <c r="D25" i="5"/>
  <c r="D88" i="5"/>
  <c r="I88" i="5" s="1"/>
  <c r="H70" i="5"/>
  <c r="H73" i="5" s="1"/>
  <c r="H25" i="5" s="1"/>
  <c r="E269" i="5"/>
  <c r="C271" i="5"/>
  <c r="F80" i="5"/>
  <c r="H80" i="5" s="1"/>
  <c r="F81" i="5"/>
  <c r="H81" i="5" s="1"/>
  <c r="F84" i="5"/>
  <c r="H84" i="5" s="1"/>
  <c r="F83" i="5"/>
  <c r="H83" i="5" s="1"/>
  <c r="F85" i="5"/>
  <c r="H85" i="5" s="1"/>
  <c r="H87" i="5" l="1"/>
  <c r="F87" i="5"/>
  <c r="E88" i="5"/>
  <c r="E32" i="5"/>
  <c r="E23" i="5"/>
  <c r="N25" i="5"/>
  <c r="Q25" i="5" s="1"/>
  <c r="I25" i="5"/>
  <c r="D40" i="5"/>
  <c r="E271" i="5"/>
  <c r="I40" i="5" l="1"/>
  <c r="E38" i="5"/>
  <c r="F32" i="5"/>
  <c r="F38" i="5" l="1"/>
  <c r="E40" i="5"/>
  <c r="C273" i="5"/>
  <c r="H32" i="5"/>
  <c r="H38" i="5" l="1"/>
  <c r="N32" i="5"/>
  <c r="E273" i="5"/>
  <c r="C312" i="5"/>
  <c r="C315" i="5" s="1"/>
  <c r="I273" i="5" l="1"/>
  <c r="E315" i="5"/>
  <c r="C324" i="5" s="1"/>
  <c r="H273" i="5"/>
  <c r="D315" i="5"/>
  <c r="C320" i="5" s="1"/>
  <c r="Q32" i="5"/>
  <c r="Q38" i="5" s="1"/>
  <c r="N38" i="5"/>
  <c r="F273" i="5" l="1"/>
  <c r="C325" i="5"/>
  <c r="F29" i="5"/>
  <c r="F66" i="5"/>
  <c r="C321" i="5"/>
  <c r="F21" i="5" l="1"/>
  <c r="F68" i="5"/>
  <c r="F88" i="5" s="1"/>
  <c r="H66" i="5"/>
  <c r="H68" i="5" s="1"/>
  <c r="H88" i="5" s="1"/>
  <c r="F230" i="5"/>
  <c r="H230" i="5" s="1"/>
  <c r="I230" i="5" s="1"/>
  <c r="F234" i="5"/>
  <c r="H234" i="5" s="1"/>
  <c r="I234" i="5" s="1"/>
  <c r="F232" i="5"/>
  <c r="H232" i="5" s="1"/>
  <c r="I232" i="5" s="1"/>
  <c r="F231" i="5"/>
  <c r="H231" i="5" s="1"/>
  <c r="I231" i="5" s="1"/>
  <c r="F233" i="5"/>
  <c r="H233" i="5" s="1"/>
  <c r="I233" i="5" s="1"/>
  <c r="F229" i="5"/>
  <c r="H229" i="5" s="1"/>
  <c r="I229" i="5" s="1"/>
  <c r="F228" i="5"/>
  <c r="H29" i="5"/>
  <c r="C326" i="5"/>
  <c r="F236" i="5" l="1"/>
  <c r="H228" i="5"/>
  <c r="I228" i="5" s="1"/>
  <c r="N29" i="5"/>
  <c r="Q29" i="5" s="1"/>
  <c r="E326" i="5"/>
  <c r="E320" i="5"/>
  <c r="E324" i="5"/>
  <c r="F23" i="5"/>
  <c r="H21" i="5"/>
  <c r="F40" i="5" l="1"/>
  <c r="H23" i="5"/>
  <c r="N21" i="5"/>
  <c r="F237" i="5"/>
  <c r="H237" i="5" s="1"/>
  <c r="H236" i="5"/>
  <c r="N23" i="5" l="1"/>
  <c r="N40" i="5" s="1"/>
  <c r="Q21" i="5"/>
  <c r="Q23" i="5" s="1"/>
  <c r="Q40" i="5" s="1"/>
  <c r="H40" i="5"/>
  <c r="A320" i="3" l="1"/>
  <c r="A324" i="3" s="1"/>
  <c r="A312" i="3"/>
  <c r="A313" i="3" s="1"/>
  <c r="B303" i="3"/>
  <c r="C303" i="3" s="1"/>
  <c r="A299" i="3"/>
  <c r="A298" i="3"/>
  <c r="C313" i="3"/>
  <c r="A268" i="3"/>
  <c r="A269" i="3" s="1"/>
  <c r="A271" i="3" s="1"/>
  <c r="A273" i="3" s="1"/>
  <c r="B260" i="3"/>
  <c r="C260" i="3" s="1"/>
  <c r="F260" i="3" s="1"/>
  <c r="H260" i="3" s="1"/>
  <c r="I260" i="3" s="1"/>
  <c r="J260" i="3" s="1"/>
  <c r="A256" i="3"/>
  <c r="A255" i="3"/>
  <c r="D248" i="3"/>
  <c r="C28" i="3"/>
  <c r="E223" i="3"/>
  <c r="E27" i="3" s="1"/>
  <c r="E27" i="8" s="1"/>
  <c r="A220" i="3"/>
  <c r="B212" i="3"/>
  <c r="C212" i="3" s="1"/>
  <c r="D212" i="3" s="1"/>
  <c r="E212" i="3" s="1"/>
  <c r="F212" i="3" s="1"/>
  <c r="A209" i="3"/>
  <c r="A208" i="3"/>
  <c r="A191" i="3"/>
  <c r="A192" i="3" s="1"/>
  <c r="B182" i="3"/>
  <c r="C182" i="3" s="1"/>
  <c r="D182" i="3" s="1"/>
  <c r="E182" i="3" s="1"/>
  <c r="F182" i="3" s="1"/>
  <c r="A178" i="3"/>
  <c r="A177" i="3"/>
  <c r="A166" i="3"/>
  <c r="A154" i="3"/>
  <c r="B144" i="3"/>
  <c r="C144" i="3" s="1"/>
  <c r="D144" i="3" s="1"/>
  <c r="E144" i="3" s="1"/>
  <c r="F144" i="3" s="1"/>
  <c r="A140" i="3"/>
  <c r="A139" i="3"/>
  <c r="A128" i="3"/>
  <c r="A116" i="3"/>
  <c r="A117" i="3" s="1"/>
  <c r="B106" i="3"/>
  <c r="C106" i="3" s="1"/>
  <c r="D106" i="3" s="1"/>
  <c r="E106" i="3" s="1"/>
  <c r="F106" i="3" s="1"/>
  <c r="A102" i="3"/>
  <c r="A101" i="3"/>
  <c r="C26" i="3"/>
  <c r="C26" i="8" s="1"/>
  <c r="F73" i="3"/>
  <c r="H72" i="3"/>
  <c r="H71" i="3"/>
  <c r="E71" i="3"/>
  <c r="H67" i="3"/>
  <c r="C22" i="3"/>
  <c r="C22" i="8" s="1"/>
  <c r="G66" i="3"/>
  <c r="G68" i="3" s="1"/>
  <c r="C21" i="3"/>
  <c r="C21" i="8" s="1"/>
  <c r="A66" i="3"/>
  <c r="A67" i="3" s="1"/>
  <c r="B57" i="3"/>
  <c r="C57" i="3" s="1"/>
  <c r="D57" i="3" s="1"/>
  <c r="E57" i="3" s="1"/>
  <c r="F57" i="3" s="1"/>
  <c r="A53" i="3"/>
  <c r="A52" i="3"/>
  <c r="P38" i="3"/>
  <c r="O38" i="3"/>
  <c r="G38" i="3"/>
  <c r="G38" i="8" s="1"/>
  <c r="I36" i="3"/>
  <c r="I36" i="8" s="1"/>
  <c r="E35" i="3"/>
  <c r="E35" i="8" s="1"/>
  <c r="W34" i="3"/>
  <c r="W35" i="3" s="1"/>
  <c r="W36" i="3" s="1"/>
  <c r="E34" i="3"/>
  <c r="E34" i="8" s="1"/>
  <c r="E33" i="3"/>
  <c r="E33" i="8" s="1"/>
  <c r="H26" i="3"/>
  <c r="H26" i="8" s="1"/>
  <c r="F26" i="3"/>
  <c r="F26" i="8" s="1"/>
  <c r="E26" i="3"/>
  <c r="E26" i="8" s="1"/>
  <c r="D26" i="3"/>
  <c r="P23" i="3"/>
  <c r="G22" i="3"/>
  <c r="G22" i="8" s="1"/>
  <c r="F22" i="3"/>
  <c r="F22" i="8" s="1"/>
  <c r="E22" i="3"/>
  <c r="E22" i="8" s="1"/>
  <c r="D22" i="3"/>
  <c r="D22" i="8" s="1"/>
  <c r="L21" i="3"/>
  <c r="L22" i="3" s="1"/>
  <c r="A21" i="3"/>
  <c r="A22" i="3" s="1"/>
  <c r="W19" i="3"/>
  <c r="W20" i="3" s="1"/>
  <c r="Y11" i="3"/>
  <c r="N11" i="3"/>
  <c r="O11" i="3" s="1"/>
  <c r="P11" i="3" s="1"/>
  <c r="Q11" i="3" s="1"/>
  <c r="B11" i="3"/>
  <c r="C11" i="3" s="1"/>
  <c r="D11" i="3" s="1"/>
  <c r="E11" i="3" s="1"/>
  <c r="F11" i="3" s="1"/>
  <c r="X7" i="3"/>
  <c r="M7" i="3"/>
  <c r="A7" i="3"/>
  <c r="V593" i="2"/>
  <c r="D561" i="2"/>
  <c r="E561" i="2" s="1"/>
  <c r="F561" i="2" s="1"/>
  <c r="G561" i="2" s="1"/>
  <c r="H561" i="2" s="1"/>
  <c r="I561" i="2" s="1"/>
  <c r="J561" i="2" s="1"/>
  <c r="K561" i="2" s="1"/>
  <c r="L561" i="2" s="1"/>
  <c r="M561" i="2" s="1"/>
  <c r="N561" i="2" s="1"/>
  <c r="O561" i="2" s="1"/>
  <c r="P561" i="2" s="1"/>
  <c r="Q561" i="2" s="1"/>
  <c r="R561" i="2" s="1"/>
  <c r="S561" i="2" s="1"/>
  <c r="T561" i="2" s="1"/>
  <c r="U561" i="2" s="1"/>
  <c r="V561" i="2" s="1"/>
  <c r="I552" i="2"/>
  <c r="I551" i="2"/>
  <c r="I550" i="2"/>
  <c r="I549" i="2"/>
  <c r="H549" i="2"/>
  <c r="I548" i="2"/>
  <c r="I547" i="2"/>
  <c r="G547" i="2"/>
  <c r="G546" i="2"/>
  <c r="I545" i="2"/>
  <c r="G545" i="2"/>
  <c r="V530" i="2"/>
  <c r="V531" i="2" s="1"/>
  <c r="U530" i="2"/>
  <c r="U531" i="2" s="1"/>
  <c r="R530" i="2"/>
  <c r="R531" i="2" s="1"/>
  <c r="M530" i="2"/>
  <c r="M531" i="2" s="1"/>
  <c r="L530" i="2"/>
  <c r="L531" i="2" s="1"/>
  <c r="L537" i="2" s="1"/>
  <c r="K530" i="2"/>
  <c r="K531" i="2" s="1"/>
  <c r="K537" i="2" s="1"/>
  <c r="E514" i="2"/>
  <c r="F514" i="2" s="1"/>
  <c r="G514" i="2" s="1"/>
  <c r="H514" i="2" s="1"/>
  <c r="I514" i="2" s="1"/>
  <c r="J514" i="2" s="1"/>
  <c r="K514" i="2" s="1"/>
  <c r="L514" i="2" s="1"/>
  <c r="M514" i="2" s="1"/>
  <c r="N514" i="2" s="1"/>
  <c r="O514" i="2" s="1"/>
  <c r="P514" i="2" s="1"/>
  <c r="Q514" i="2" s="1"/>
  <c r="R514" i="2" s="1"/>
  <c r="S514" i="2" s="1"/>
  <c r="T514" i="2" s="1"/>
  <c r="U514" i="2" s="1"/>
  <c r="V514" i="2" s="1"/>
  <c r="D511" i="2"/>
  <c r="D509" i="2"/>
  <c r="AC499" i="2"/>
  <c r="AC498" i="2"/>
  <c r="AC497" i="2"/>
  <c r="AC496" i="2"/>
  <c r="AC495" i="2"/>
  <c r="AC494" i="2"/>
  <c r="AC493" i="2"/>
  <c r="AC492" i="2"/>
  <c r="AC491" i="2"/>
  <c r="AC490" i="2"/>
  <c r="AC489" i="2"/>
  <c r="AC488" i="2"/>
  <c r="AC487" i="2"/>
  <c r="AC486" i="2"/>
  <c r="AC485" i="2"/>
  <c r="AC484" i="2"/>
  <c r="AC483" i="2"/>
  <c r="AC482" i="2"/>
  <c r="AC481" i="2"/>
  <c r="AC480" i="2"/>
  <c r="AC479" i="2"/>
  <c r="AC478" i="2"/>
  <c r="AC477" i="2"/>
  <c r="AC476" i="2"/>
  <c r="AC475" i="2"/>
  <c r="AC474" i="2"/>
  <c r="AC473" i="2"/>
  <c r="AC472" i="2"/>
  <c r="AC471" i="2"/>
  <c r="AC470" i="2"/>
  <c r="AC469" i="2"/>
  <c r="AC468" i="2"/>
  <c r="AC467" i="2"/>
  <c r="AC466" i="2"/>
  <c r="AC465" i="2"/>
  <c r="AC464" i="2"/>
  <c r="AC463" i="2"/>
  <c r="AC462" i="2"/>
  <c r="AC461" i="2"/>
  <c r="AC460" i="2"/>
  <c r="AC459" i="2"/>
  <c r="AC458" i="2"/>
  <c r="AC457" i="2"/>
  <c r="AC456" i="2"/>
  <c r="AC455" i="2"/>
  <c r="E451" i="2"/>
  <c r="F451" i="2" s="1"/>
  <c r="G451" i="2" s="1"/>
  <c r="H451" i="2" s="1"/>
  <c r="I451" i="2" s="1"/>
  <c r="J451" i="2" s="1"/>
  <c r="K451" i="2" s="1"/>
  <c r="L451" i="2" s="1"/>
  <c r="M451" i="2" s="1"/>
  <c r="N451" i="2" s="1"/>
  <c r="O451" i="2" s="1"/>
  <c r="P451" i="2" s="1"/>
  <c r="Q451" i="2" s="1"/>
  <c r="R451" i="2" s="1"/>
  <c r="S451" i="2" s="1"/>
  <c r="T451" i="2" s="1"/>
  <c r="U451" i="2" s="1"/>
  <c r="V451" i="2" s="1"/>
  <c r="AA450" i="2"/>
  <c r="AA449" i="2"/>
  <c r="D449" i="2"/>
  <c r="AA448" i="2"/>
  <c r="D447" i="2"/>
  <c r="AI445" i="2"/>
  <c r="AC443" i="2"/>
  <c r="AC442" i="2"/>
  <c r="AC441" i="2"/>
  <c r="AC440" i="2"/>
  <c r="AC439" i="2"/>
  <c r="AC438" i="2"/>
  <c r="AC437" i="2"/>
  <c r="AC436" i="2"/>
  <c r="AC435" i="2"/>
  <c r="AC434" i="2"/>
  <c r="AC433" i="2"/>
  <c r="AC432" i="2"/>
  <c r="AC431" i="2"/>
  <c r="AC430" i="2"/>
  <c r="AC429" i="2"/>
  <c r="AC428" i="2"/>
  <c r="AC427" i="2"/>
  <c r="AC426" i="2"/>
  <c r="AC425" i="2"/>
  <c r="AC424" i="2"/>
  <c r="AC423" i="2"/>
  <c r="AC422" i="2"/>
  <c r="AC421" i="2"/>
  <c r="AC420" i="2"/>
  <c r="AC419" i="2"/>
  <c r="AC418" i="2"/>
  <c r="AC417" i="2"/>
  <c r="AC416" i="2"/>
  <c r="AC415" i="2"/>
  <c r="AC414" i="2"/>
  <c r="AC413" i="2"/>
  <c r="AC412" i="2"/>
  <c r="AC411" i="2"/>
  <c r="AC410" i="2"/>
  <c r="AC409" i="2"/>
  <c r="AC408" i="2"/>
  <c r="AC407" i="2"/>
  <c r="AC406" i="2"/>
  <c r="AC405" i="2"/>
  <c r="AC404" i="2"/>
  <c r="AC403" i="2"/>
  <c r="AC402" i="2"/>
  <c r="AC401" i="2"/>
  <c r="AC400" i="2"/>
  <c r="AC399" i="2"/>
  <c r="E395" i="2"/>
  <c r="F395" i="2" s="1"/>
  <c r="G395" i="2" s="1"/>
  <c r="H395" i="2" s="1"/>
  <c r="I395" i="2" s="1"/>
  <c r="J395" i="2" s="1"/>
  <c r="K395" i="2" s="1"/>
  <c r="L395" i="2" s="1"/>
  <c r="M395" i="2" s="1"/>
  <c r="N395" i="2" s="1"/>
  <c r="O395" i="2" s="1"/>
  <c r="P395" i="2" s="1"/>
  <c r="Q395" i="2" s="1"/>
  <c r="R395" i="2" s="1"/>
  <c r="S395" i="2" s="1"/>
  <c r="T395" i="2" s="1"/>
  <c r="U395" i="2" s="1"/>
  <c r="V395" i="2" s="1"/>
  <c r="AA394" i="2"/>
  <c r="AA393" i="2"/>
  <c r="D393" i="2"/>
  <c r="AA392" i="2"/>
  <c r="D391" i="2"/>
  <c r="AI389" i="2"/>
  <c r="AC380" i="2"/>
  <c r="AC379" i="2"/>
  <c r="AC378" i="2"/>
  <c r="AC377" i="2"/>
  <c r="AC376" i="2"/>
  <c r="AC375" i="2"/>
  <c r="AC374" i="2"/>
  <c r="AC373" i="2"/>
  <c r="AC372" i="2"/>
  <c r="AC371" i="2"/>
  <c r="AC370" i="2"/>
  <c r="AC369" i="2"/>
  <c r="AC368" i="2"/>
  <c r="AC367" i="2"/>
  <c r="E366" i="2"/>
  <c r="AC366" i="2" s="1"/>
  <c r="AC365" i="2"/>
  <c r="AC364" i="2"/>
  <c r="AC363" i="2"/>
  <c r="AC362" i="2"/>
  <c r="AC361" i="2"/>
  <c r="V361" i="2"/>
  <c r="V363" i="2" s="1"/>
  <c r="T361" i="2"/>
  <c r="T363" i="2" s="1"/>
  <c r="T376" i="2" s="1"/>
  <c r="AC360" i="2"/>
  <c r="AC359" i="2"/>
  <c r="AC358" i="2"/>
  <c r="AC357" i="2"/>
  <c r="AC356" i="2"/>
  <c r="AC355" i="2"/>
  <c r="AC354" i="2"/>
  <c r="AC353" i="2"/>
  <c r="AC352" i="2"/>
  <c r="AC351" i="2"/>
  <c r="AC350" i="2"/>
  <c r="AC349" i="2"/>
  <c r="AC348" i="2"/>
  <c r="AC347" i="2"/>
  <c r="AC346" i="2"/>
  <c r="E341" i="2"/>
  <c r="F341" i="2" s="1"/>
  <c r="G341" i="2" s="1"/>
  <c r="H341" i="2" s="1"/>
  <c r="I341" i="2" s="1"/>
  <c r="J341" i="2" s="1"/>
  <c r="K341" i="2" s="1"/>
  <c r="L341" i="2" s="1"/>
  <c r="M341" i="2" s="1"/>
  <c r="N341" i="2" s="1"/>
  <c r="O341" i="2" s="1"/>
  <c r="P341" i="2" s="1"/>
  <c r="Q341" i="2" s="1"/>
  <c r="R341" i="2" s="1"/>
  <c r="S341" i="2" s="1"/>
  <c r="T341" i="2" s="1"/>
  <c r="U341" i="2" s="1"/>
  <c r="V341" i="2" s="1"/>
  <c r="AA339" i="2"/>
  <c r="AA338" i="2"/>
  <c r="D338" i="2"/>
  <c r="AA337" i="2"/>
  <c r="D336" i="2"/>
  <c r="AI333" i="2"/>
  <c r="E325" i="2"/>
  <c r="AC322" i="2"/>
  <c r="AC321" i="2"/>
  <c r="AC320" i="2"/>
  <c r="AC319" i="2"/>
  <c r="AC318" i="2"/>
  <c r="AC317" i="2"/>
  <c r="AC316" i="2"/>
  <c r="AC315" i="2"/>
  <c r="AC314" i="2"/>
  <c r="AC313" i="2"/>
  <c r="AC312" i="2"/>
  <c r="AC311" i="2"/>
  <c r="AC310" i="2"/>
  <c r="U310" i="2"/>
  <c r="AC309" i="2"/>
  <c r="AC308" i="2"/>
  <c r="H308" i="2"/>
  <c r="AC307" i="2"/>
  <c r="AC306" i="2"/>
  <c r="AC305" i="2"/>
  <c r="AC304" i="2"/>
  <c r="AC302" i="2"/>
  <c r="AC301" i="2"/>
  <c r="AC300" i="2"/>
  <c r="AF299" i="2"/>
  <c r="AE299" i="2"/>
  <c r="AC299" i="2"/>
  <c r="AC298" i="2"/>
  <c r="AC296" i="2"/>
  <c r="AC293" i="2"/>
  <c r="AC292" i="2"/>
  <c r="AC291" i="2"/>
  <c r="F291" i="2" s="1"/>
  <c r="AC290" i="2"/>
  <c r="G290" i="2"/>
  <c r="AC289" i="2"/>
  <c r="AC288" i="2"/>
  <c r="AC287" i="2"/>
  <c r="AC286" i="2"/>
  <c r="D286" i="2"/>
  <c r="D287" i="2" s="1"/>
  <c r="AC285" i="2"/>
  <c r="E280" i="2"/>
  <c r="F280" i="2" s="1"/>
  <c r="G280" i="2" s="1"/>
  <c r="H280" i="2" s="1"/>
  <c r="I280" i="2" s="1"/>
  <c r="J280" i="2" s="1"/>
  <c r="K280" i="2" s="1"/>
  <c r="L280" i="2" s="1"/>
  <c r="M280" i="2" s="1"/>
  <c r="N280" i="2" s="1"/>
  <c r="O280" i="2" s="1"/>
  <c r="P280" i="2" s="1"/>
  <c r="Q280" i="2" s="1"/>
  <c r="R280" i="2" s="1"/>
  <c r="S280" i="2" s="1"/>
  <c r="T280" i="2" s="1"/>
  <c r="U280" i="2" s="1"/>
  <c r="V280" i="2" s="1"/>
  <c r="AA278" i="2"/>
  <c r="AA277" i="2"/>
  <c r="D277" i="2"/>
  <c r="AA276" i="2"/>
  <c r="D275" i="2"/>
  <c r="AC270" i="2"/>
  <c r="AC269" i="2"/>
  <c r="AC268" i="2"/>
  <c r="B268" i="2"/>
  <c r="AC267" i="2"/>
  <c r="B267" i="2"/>
  <c r="AC266" i="2"/>
  <c r="AC265" i="2"/>
  <c r="AH264" i="2"/>
  <c r="AC264" i="2"/>
  <c r="AC263" i="2"/>
  <c r="AC262" i="2"/>
  <c r="AC261" i="2"/>
  <c r="AC260" i="2"/>
  <c r="AC259" i="2"/>
  <c r="AC258" i="2"/>
  <c r="AC257" i="2"/>
  <c r="AC256" i="2"/>
  <c r="AC255" i="2"/>
  <c r="AC254" i="2"/>
  <c r="AC253" i="2"/>
  <c r="AC252" i="2"/>
  <c r="AC251" i="2"/>
  <c r="AC250" i="2"/>
  <c r="AC249" i="2"/>
  <c r="AF248" i="2"/>
  <c r="AE248" i="2"/>
  <c r="AC248" i="2"/>
  <c r="AC247" i="2"/>
  <c r="AC246" i="2"/>
  <c r="AC245" i="2"/>
  <c r="AC244" i="2"/>
  <c r="AF243" i="2"/>
  <c r="AE243" i="2"/>
  <c r="AC243" i="2"/>
  <c r="AC242" i="2"/>
  <c r="AC241" i="2"/>
  <c r="AC240" i="2"/>
  <c r="G554" i="2"/>
  <c r="AC239" i="2"/>
  <c r="AC238" i="2"/>
  <c r="AF237" i="2"/>
  <c r="AE237" i="2"/>
  <c r="AC237" i="2"/>
  <c r="AC236" i="2"/>
  <c r="AC235" i="2"/>
  <c r="AC234" i="2"/>
  <c r="AC233" i="2"/>
  <c r="AC232" i="2"/>
  <c r="AC231" i="2"/>
  <c r="D231" i="2"/>
  <c r="AC230" i="2"/>
  <c r="E226" i="2"/>
  <c r="F226" i="2" s="1"/>
  <c r="G226" i="2" s="1"/>
  <c r="H226" i="2" s="1"/>
  <c r="I226" i="2" s="1"/>
  <c r="J226" i="2" s="1"/>
  <c r="K226" i="2" s="1"/>
  <c r="L226" i="2" s="1"/>
  <c r="M226" i="2" s="1"/>
  <c r="N226" i="2" s="1"/>
  <c r="O226" i="2" s="1"/>
  <c r="P226" i="2" s="1"/>
  <c r="Q226" i="2" s="1"/>
  <c r="R226" i="2" s="1"/>
  <c r="S226" i="2" s="1"/>
  <c r="T226" i="2" s="1"/>
  <c r="U226" i="2" s="1"/>
  <c r="V226" i="2" s="1"/>
  <c r="AB225" i="2"/>
  <c r="AB224" i="2"/>
  <c r="D224" i="2"/>
  <c r="AB223" i="2"/>
  <c r="D222" i="2"/>
  <c r="AC221" i="2"/>
  <c r="AC220" i="2"/>
  <c r="AC218" i="2"/>
  <c r="AC217" i="2"/>
  <c r="AC216" i="2"/>
  <c r="AC215" i="2"/>
  <c r="AC214" i="2"/>
  <c r="AC213" i="2"/>
  <c r="AC212" i="2"/>
  <c r="AC211" i="2"/>
  <c r="AE210" i="2"/>
  <c r="AC210" i="2"/>
  <c r="U210" i="2"/>
  <c r="T210" i="2"/>
  <c r="S210" i="2"/>
  <c r="R210" i="2"/>
  <c r="Q210" i="2"/>
  <c r="P210" i="2"/>
  <c r="O210" i="2"/>
  <c r="N210" i="2"/>
  <c r="M210" i="2"/>
  <c r="L210" i="2"/>
  <c r="K210" i="2"/>
  <c r="J210" i="2"/>
  <c r="AC209" i="2"/>
  <c r="AC208" i="2"/>
  <c r="AC207" i="2"/>
  <c r="AC206" i="2"/>
  <c r="AC205" i="2"/>
  <c r="AC203" i="2"/>
  <c r="AC202" i="2"/>
  <c r="AC201" i="2"/>
  <c r="AC200" i="2"/>
  <c r="AC199" i="2"/>
  <c r="AC197" i="2"/>
  <c r="AC196" i="2"/>
  <c r="AC195" i="2"/>
  <c r="AC194" i="2"/>
  <c r="AC193" i="2"/>
  <c r="E189" i="2"/>
  <c r="F189" i="2" s="1"/>
  <c r="G189" i="2" s="1"/>
  <c r="H189" i="2" s="1"/>
  <c r="I189" i="2" s="1"/>
  <c r="J189" i="2" s="1"/>
  <c r="K189" i="2" s="1"/>
  <c r="L189" i="2" s="1"/>
  <c r="M189" i="2" s="1"/>
  <c r="N189" i="2" s="1"/>
  <c r="O189" i="2" s="1"/>
  <c r="P189" i="2" s="1"/>
  <c r="Q189" i="2" s="1"/>
  <c r="R189" i="2" s="1"/>
  <c r="S189" i="2" s="1"/>
  <c r="T189" i="2" s="1"/>
  <c r="U189" i="2" s="1"/>
  <c r="V189" i="2" s="1"/>
  <c r="AA187" i="2"/>
  <c r="AA186" i="2"/>
  <c r="D186" i="2"/>
  <c r="AA185" i="2"/>
  <c r="D184" i="2"/>
  <c r="B170" i="2"/>
  <c r="I168" i="2"/>
  <c r="U155" i="2"/>
  <c r="U156" i="2" s="1"/>
  <c r="T155" i="2"/>
  <c r="T156" i="2" s="1"/>
  <c r="S155" i="2"/>
  <c r="S156" i="2" s="1"/>
  <c r="R155" i="2"/>
  <c r="R156" i="2" s="1"/>
  <c r="Q155" i="2"/>
  <c r="Q156" i="2" s="1"/>
  <c r="P155" i="2"/>
  <c r="P156" i="2" s="1"/>
  <c r="O155" i="2"/>
  <c r="O156" i="2" s="1"/>
  <c r="N155" i="2"/>
  <c r="N156" i="2" s="1"/>
  <c r="M155" i="2"/>
  <c r="M156" i="2" s="1"/>
  <c r="L155" i="2"/>
  <c r="E153" i="2"/>
  <c r="E152" i="2"/>
  <c r="E151" i="2"/>
  <c r="I142" i="2"/>
  <c r="D133" i="2"/>
  <c r="D134" i="2" s="1"/>
  <c r="E127" i="2"/>
  <c r="F127" i="2" s="1"/>
  <c r="G127" i="2" s="1"/>
  <c r="H127" i="2" s="1"/>
  <c r="I127" i="2" s="1"/>
  <c r="J127" i="2" s="1"/>
  <c r="K127" i="2" s="1"/>
  <c r="L127" i="2" s="1"/>
  <c r="M127" i="2" s="1"/>
  <c r="N127" i="2" s="1"/>
  <c r="O127" i="2" s="1"/>
  <c r="P127" i="2" s="1"/>
  <c r="Q127" i="2" s="1"/>
  <c r="R127" i="2" s="1"/>
  <c r="S127" i="2" s="1"/>
  <c r="T127" i="2" s="1"/>
  <c r="U127" i="2" s="1"/>
  <c r="V127" i="2" s="1"/>
  <c r="D125" i="2"/>
  <c r="D123" i="2"/>
  <c r="B110" i="2"/>
  <c r="I108" i="2"/>
  <c r="U95" i="2"/>
  <c r="U96" i="2" s="1"/>
  <c r="T95" i="2"/>
  <c r="T96" i="2" s="1"/>
  <c r="S95" i="2"/>
  <c r="S96" i="2" s="1"/>
  <c r="R95" i="2"/>
  <c r="R96" i="2" s="1"/>
  <c r="Q95" i="2"/>
  <c r="Q96" i="2" s="1"/>
  <c r="P95" i="2"/>
  <c r="P96" i="2" s="1"/>
  <c r="O95" i="2"/>
  <c r="O96" i="2" s="1"/>
  <c r="N95" i="2"/>
  <c r="N96" i="2" s="1"/>
  <c r="M95" i="2"/>
  <c r="M96" i="2" s="1"/>
  <c r="L95" i="2"/>
  <c r="E93" i="2"/>
  <c r="E92" i="2"/>
  <c r="E91" i="2"/>
  <c r="I82" i="2"/>
  <c r="D73" i="2"/>
  <c r="D74" i="2" s="1"/>
  <c r="D75" i="2" s="1"/>
  <c r="E67" i="2"/>
  <c r="F67" i="2" s="1"/>
  <c r="G67" i="2" s="1"/>
  <c r="H67" i="2" s="1"/>
  <c r="I67" i="2" s="1"/>
  <c r="J67" i="2" s="1"/>
  <c r="K67" i="2" s="1"/>
  <c r="L67" i="2" s="1"/>
  <c r="M67" i="2" s="1"/>
  <c r="N67" i="2" s="1"/>
  <c r="O67" i="2" s="1"/>
  <c r="P67" i="2" s="1"/>
  <c r="Q67" i="2" s="1"/>
  <c r="R67" i="2" s="1"/>
  <c r="S67" i="2" s="1"/>
  <c r="T67" i="2" s="1"/>
  <c r="U67" i="2" s="1"/>
  <c r="V67" i="2" s="1"/>
  <c r="D65" i="2"/>
  <c r="D63" i="2"/>
  <c r="AC58" i="2"/>
  <c r="AC57" i="2"/>
  <c r="AC56" i="2"/>
  <c r="AC55" i="2"/>
  <c r="AC54" i="2"/>
  <c r="AC52" i="2"/>
  <c r="B52" i="2"/>
  <c r="AC51" i="2"/>
  <c r="AC50" i="2"/>
  <c r="I50" i="2"/>
  <c r="AC49" i="2"/>
  <c r="AC48" i="2"/>
  <c r="AC47" i="2"/>
  <c r="AC46" i="2"/>
  <c r="AC45" i="2"/>
  <c r="AC44" i="2"/>
  <c r="AC43" i="2"/>
  <c r="AC42" i="2"/>
  <c r="AC41" i="2"/>
  <c r="AC40" i="2"/>
  <c r="AC39" i="2"/>
  <c r="AC38" i="2"/>
  <c r="AC37" i="2"/>
  <c r="U37" i="2"/>
  <c r="T37" i="2"/>
  <c r="T38" i="2" s="1"/>
  <c r="S37" i="2"/>
  <c r="S38" i="2" s="1"/>
  <c r="R37" i="2"/>
  <c r="Q37" i="2"/>
  <c r="Q38" i="2" s="1"/>
  <c r="P37" i="2"/>
  <c r="P38" i="2" s="1"/>
  <c r="O37" i="2"/>
  <c r="N37" i="2"/>
  <c r="M37" i="2"/>
  <c r="L37" i="2"/>
  <c r="AC36" i="2"/>
  <c r="AC35" i="2"/>
  <c r="AC34" i="2"/>
  <c r="AC33" i="2"/>
  <c r="AC32" i="2"/>
  <c r="AC31" i="2"/>
  <c r="AC30" i="2"/>
  <c r="AC29" i="2"/>
  <c r="AC28" i="2"/>
  <c r="AC27" i="2"/>
  <c r="AC26" i="2"/>
  <c r="AC25" i="2"/>
  <c r="AC24" i="2"/>
  <c r="I24" i="2"/>
  <c r="AC23" i="2"/>
  <c r="AC22" i="2"/>
  <c r="AC21" i="2"/>
  <c r="AC20" i="2"/>
  <c r="AC19" i="2"/>
  <c r="AC18" i="2"/>
  <c r="AC17" i="2"/>
  <c r="AC16" i="2"/>
  <c r="AC15" i="2"/>
  <c r="D15" i="2"/>
  <c r="AC14" i="2"/>
  <c r="AC13" i="2"/>
  <c r="E9" i="2"/>
  <c r="F9" i="2" s="1"/>
  <c r="G9" i="2" s="1"/>
  <c r="H9" i="2" s="1"/>
  <c r="I9" i="2" s="1"/>
  <c r="J9" i="2" s="1"/>
  <c r="K9" i="2" s="1"/>
  <c r="L9" i="2" s="1"/>
  <c r="M9" i="2" s="1"/>
  <c r="N9" i="2" s="1"/>
  <c r="O9" i="2" s="1"/>
  <c r="P9" i="2" s="1"/>
  <c r="Q9" i="2" s="1"/>
  <c r="R9" i="2" s="1"/>
  <c r="S9" i="2" s="1"/>
  <c r="T9" i="2" s="1"/>
  <c r="U9" i="2" s="1"/>
  <c r="V9" i="2" s="1"/>
  <c r="AA8" i="2"/>
  <c r="AA7" i="2"/>
  <c r="D7" i="2"/>
  <c r="AA6" i="2"/>
  <c r="D6" i="2"/>
  <c r="I26" i="3" l="1"/>
  <c r="I26" i="8" s="1"/>
  <c r="D26" i="8"/>
  <c r="H28" i="3"/>
  <c r="C28" i="8"/>
  <c r="A23" i="3"/>
  <c r="A25" i="3" s="1"/>
  <c r="AF250" i="2"/>
  <c r="A321" i="3"/>
  <c r="A326" i="3"/>
  <c r="A325" i="3"/>
  <c r="C23" i="3"/>
  <c r="C23" i="8" s="1"/>
  <c r="G21" i="3"/>
  <c r="A221" i="3"/>
  <c r="A223" i="3" s="1"/>
  <c r="A225" i="3" s="1"/>
  <c r="A228" i="3" s="1"/>
  <c r="A229" i="3" s="1"/>
  <c r="A230" i="3" s="1"/>
  <c r="W38" i="3"/>
  <c r="W21" i="3"/>
  <c r="W22" i="3" s="1"/>
  <c r="W23" i="3" s="1"/>
  <c r="C73" i="3"/>
  <c r="C25" i="3" s="1"/>
  <c r="C25" i="8" s="1"/>
  <c r="A193" i="3"/>
  <c r="A194" i="3" s="1"/>
  <c r="C236" i="3"/>
  <c r="C29" i="3" s="1"/>
  <c r="C29" i="8" s="1"/>
  <c r="P40" i="3"/>
  <c r="A68" i="3"/>
  <c r="A70" i="3" s="1"/>
  <c r="A155" i="3"/>
  <c r="H57" i="3"/>
  <c r="I57" i="3" s="1"/>
  <c r="G57" i="3"/>
  <c r="H106" i="3"/>
  <c r="I106" i="3" s="1"/>
  <c r="G106" i="3"/>
  <c r="G11" i="3"/>
  <c r="H11" i="3"/>
  <c r="I11" i="3" s="1"/>
  <c r="H212" i="3"/>
  <c r="I212" i="3" s="1"/>
  <c r="G212" i="3"/>
  <c r="H182" i="3"/>
  <c r="I182" i="3" s="1"/>
  <c r="G182" i="3"/>
  <c r="C87" i="3"/>
  <c r="C198" i="3"/>
  <c r="H22" i="3"/>
  <c r="H22" i="8" s="1"/>
  <c r="L23" i="3"/>
  <c r="L25" i="3" s="1"/>
  <c r="A118" i="3"/>
  <c r="H144" i="3"/>
  <c r="I144" i="3" s="1"/>
  <c r="G144" i="3"/>
  <c r="C128" i="3"/>
  <c r="C33" i="3" s="1"/>
  <c r="C33" i="8" s="1"/>
  <c r="C166" i="3"/>
  <c r="AE361" i="2"/>
  <c r="AE363" i="2" s="1"/>
  <c r="C68" i="3"/>
  <c r="E243" i="3"/>
  <c r="K361" i="2"/>
  <c r="K363" i="2" s="1"/>
  <c r="N522" i="2"/>
  <c r="V426" i="2"/>
  <c r="S39" i="7" s="1"/>
  <c r="V378" i="2"/>
  <c r="V367" i="2"/>
  <c r="V375" i="2"/>
  <c r="V408" i="2"/>
  <c r="S21" i="7" s="1"/>
  <c r="V419" i="2"/>
  <c r="S32" i="7" s="1"/>
  <c r="V372" i="2"/>
  <c r="V417" i="2"/>
  <c r="S30" i="7" s="1"/>
  <c r="N361" i="2"/>
  <c r="N363" i="2" s="1"/>
  <c r="M536" i="2"/>
  <c r="M537" i="2"/>
  <c r="P361" i="2"/>
  <c r="P363" i="2" s="1"/>
  <c r="K536" i="2"/>
  <c r="L536" i="2"/>
  <c r="D16" i="2"/>
  <c r="D17" i="2" s="1"/>
  <c r="D18" i="2" s="1"/>
  <c r="M38" i="2"/>
  <c r="D510" i="2"/>
  <c r="D392" i="2"/>
  <c r="D448" i="2"/>
  <c r="D276" i="2"/>
  <c r="D337" i="2"/>
  <c r="D223" i="2"/>
  <c r="D185" i="2"/>
  <c r="D64" i="2"/>
  <c r="D124" i="2"/>
  <c r="O38" i="2"/>
  <c r="R38" i="2"/>
  <c r="N38" i="2"/>
  <c r="D76" i="2"/>
  <c r="D77" i="2" s="1"/>
  <c r="D232" i="2"/>
  <c r="D233" i="2" s="1"/>
  <c r="D135" i="2"/>
  <c r="D136" i="2" s="1"/>
  <c r="D137" i="2" s="1"/>
  <c r="U38" i="2"/>
  <c r="H290" i="2"/>
  <c r="AE250" i="2"/>
  <c r="D288" i="2"/>
  <c r="D289" i="2" s="1"/>
  <c r="I361" i="2"/>
  <c r="I363" i="2" s="1"/>
  <c r="D353" i="2"/>
  <c r="G361" i="2"/>
  <c r="G363" i="2" s="1"/>
  <c r="H361" i="2"/>
  <c r="H363" i="2" s="1"/>
  <c r="J361" i="2"/>
  <c r="J363" i="2" s="1"/>
  <c r="L361" i="2"/>
  <c r="L363" i="2" s="1"/>
  <c r="T370" i="2"/>
  <c r="T373" i="2"/>
  <c r="T374" i="2"/>
  <c r="T378" i="2"/>
  <c r="T375" i="2"/>
  <c r="T372" i="2"/>
  <c r="T366" i="2"/>
  <c r="T377" i="2"/>
  <c r="T368" i="2"/>
  <c r="T371" i="2"/>
  <c r="T367" i="2"/>
  <c r="V425" i="2"/>
  <c r="S38" i="7" s="1"/>
  <c r="V423" i="2"/>
  <c r="S36" i="7" s="1"/>
  <c r="V411" i="2"/>
  <c r="S24" i="7" s="1"/>
  <c r="V409" i="2"/>
  <c r="S22" i="7" s="1"/>
  <c r="V407" i="2"/>
  <c r="S20" i="7" s="1"/>
  <c r="V405" i="2"/>
  <c r="S18" i="7" s="1"/>
  <c r="V376" i="2"/>
  <c r="V421" i="2"/>
  <c r="S34" i="7" s="1"/>
  <c r="V402" i="2"/>
  <c r="S15" i="7" s="1"/>
  <c r="V370" i="2"/>
  <c r="V410" i="2"/>
  <c r="S23" i="7" s="1"/>
  <c r="V420" i="2"/>
  <c r="S33" i="7" s="1"/>
  <c r="V373" i="2"/>
  <c r="V424" i="2"/>
  <c r="S37" i="7" s="1"/>
  <c r="V404" i="2"/>
  <c r="S17" i="7" s="1"/>
  <c r="M534" i="2"/>
  <c r="M539" i="2"/>
  <c r="M538" i="2"/>
  <c r="M541" i="2"/>
  <c r="M540" i="2"/>
  <c r="V371" i="2"/>
  <c r="V368" i="2"/>
  <c r="V374" i="2"/>
  <c r="V377" i="2"/>
  <c r="V406" i="2"/>
  <c r="S19" i="7" s="1"/>
  <c r="U537" i="2"/>
  <c r="U536" i="2"/>
  <c r="U540" i="2"/>
  <c r="U534" i="2"/>
  <c r="U539" i="2"/>
  <c r="U538" i="2"/>
  <c r="V366" i="2"/>
  <c r="V422" i="2"/>
  <c r="S35" i="7" s="1"/>
  <c r="H553" i="2"/>
  <c r="V536" i="2"/>
  <c r="V534" i="2"/>
  <c r="V539" i="2"/>
  <c r="V538" i="2"/>
  <c r="V540" i="2"/>
  <c r="V537" i="2"/>
  <c r="R538" i="2"/>
  <c r="R537" i="2"/>
  <c r="R541" i="2"/>
  <c r="R536" i="2"/>
  <c r="R534" i="2"/>
  <c r="R539" i="2"/>
  <c r="R540" i="2"/>
  <c r="K540" i="2"/>
  <c r="K534" i="2"/>
  <c r="K538" i="2"/>
  <c r="K541" i="2"/>
  <c r="K539" i="2"/>
  <c r="L540" i="2"/>
  <c r="L534" i="2"/>
  <c r="L539" i="2"/>
  <c r="L538" i="2"/>
  <c r="L541" i="2"/>
  <c r="N524" i="2"/>
  <c r="I553" i="2"/>
  <c r="J553" i="2"/>
  <c r="N28" i="3" l="1"/>
  <c r="Q28" i="3" s="1"/>
  <c r="H28" i="8"/>
  <c r="G23" i="3"/>
  <c r="G21" i="8"/>
  <c r="A195" i="3"/>
  <c r="A196" i="3" s="1"/>
  <c r="A156" i="3"/>
  <c r="A157" i="3" s="1"/>
  <c r="A158" i="3" s="1"/>
  <c r="W40" i="3"/>
  <c r="W41" i="3" s="1"/>
  <c r="M542" i="2"/>
  <c r="M543" i="2" s="1"/>
  <c r="A119" i="3"/>
  <c r="A26" i="3"/>
  <c r="V380" i="2"/>
  <c r="L542" i="2"/>
  <c r="L543" i="2" s="1"/>
  <c r="A231" i="3"/>
  <c r="A232" i="3" s="1"/>
  <c r="L27" i="3"/>
  <c r="A71" i="3"/>
  <c r="A72" i="3" s="1"/>
  <c r="C34" i="3"/>
  <c r="C34" i="8" s="1"/>
  <c r="C88" i="3"/>
  <c r="C32" i="3"/>
  <c r="C32" i="8" s="1"/>
  <c r="C35" i="3"/>
  <c r="C35" i="8" s="1"/>
  <c r="K542" i="2"/>
  <c r="K543" i="2" s="1"/>
  <c r="V427" i="2"/>
  <c r="S40" i="7" s="1"/>
  <c r="D78" i="2"/>
  <c r="D79" i="2" s="1"/>
  <c r="D290" i="2"/>
  <c r="AE378" i="2"/>
  <c r="AE377" i="2"/>
  <c r="AE374" i="2"/>
  <c r="AE368" i="2"/>
  <c r="AE371" i="2"/>
  <c r="AE373" i="2"/>
  <c r="AE376" i="2"/>
  <c r="AE367" i="2"/>
  <c r="AE370" i="2"/>
  <c r="AE375" i="2"/>
  <c r="AE372" i="2"/>
  <c r="AE366" i="2"/>
  <c r="G366" i="2"/>
  <c r="G377" i="2"/>
  <c r="G374" i="2"/>
  <c r="G368" i="2"/>
  <c r="G371" i="2"/>
  <c r="G376" i="2"/>
  <c r="G373" i="2"/>
  <c r="G367" i="2"/>
  <c r="G370" i="2"/>
  <c r="G372" i="2"/>
  <c r="G378" i="2"/>
  <c r="G375" i="2"/>
  <c r="D138" i="2"/>
  <c r="D139" i="2" s="1"/>
  <c r="K368" i="2"/>
  <c r="K371" i="2"/>
  <c r="K373" i="2"/>
  <c r="K376" i="2"/>
  <c r="K367" i="2"/>
  <c r="K370" i="2"/>
  <c r="K375" i="2"/>
  <c r="K377" i="2"/>
  <c r="K374" i="2"/>
  <c r="K366" i="2"/>
  <c r="K378" i="2"/>
  <c r="K372" i="2"/>
  <c r="N375" i="2"/>
  <c r="N376" i="2"/>
  <c r="N373" i="2"/>
  <c r="N367" i="2"/>
  <c r="N370" i="2"/>
  <c r="N378" i="2"/>
  <c r="N372" i="2"/>
  <c r="N377" i="2"/>
  <c r="N374" i="2"/>
  <c r="N368" i="2"/>
  <c r="N371" i="2"/>
  <c r="N366" i="2"/>
  <c r="T380" i="2"/>
  <c r="V542" i="2"/>
  <c r="V543" i="2" s="1"/>
  <c r="L373" i="2"/>
  <c r="L371" i="2"/>
  <c r="L376" i="2"/>
  <c r="L367" i="2"/>
  <c r="L370" i="2"/>
  <c r="L375" i="2"/>
  <c r="L378" i="2"/>
  <c r="L372" i="2"/>
  <c r="L366" i="2"/>
  <c r="L368" i="2"/>
  <c r="L377" i="2"/>
  <c r="L374" i="2"/>
  <c r="H368" i="2"/>
  <c r="I366" i="2"/>
  <c r="I377" i="2"/>
  <c r="I374" i="2"/>
  <c r="I368" i="2"/>
  <c r="I371" i="2"/>
  <c r="I373" i="2"/>
  <c r="I376" i="2"/>
  <c r="I367" i="2"/>
  <c r="I378" i="2"/>
  <c r="I375" i="2"/>
  <c r="I372" i="2"/>
  <c r="I370" i="2"/>
  <c r="R542" i="2"/>
  <c r="R543" i="2" s="1"/>
  <c r="V412" i="2"/>
  <c r="S25" i="7" s="1"/>
  <c r="D404" i="2"/>
  <c r="D405" i="2" s="1"/>
  <c r="D234" i="2"/>
  <c r="D235" i="2" s="1"/>
  <c r="U542" i="2"/>
  <c r="U543" i="2" s="1"/>
  <c r="P377" i="2"/>
  <c r="P367" i="2"/>
  <c r="P370" i="2"/>
  <c r="P378" i="2"/>
  <c r="P375" i="2"/>
  <c r="P372" i="2"/>
  <c r="P366" i="2"/>
  <c r="P374" i="2"/>
  <c r="P371" i="2"/>
  <c r="P376" i="2"/>
  <c r="P373" i="2"/>
  <c r="P368" i="2"/>
  <c r="D19" i="2"/>
  <c r="D20" i="2" s="1"/>
  <c r="J378" i="2"/>
  <c r="J377" i="2"/>
  <c r="J374" i="2"/>
  <c r="J368" i="2"/>
  <c r="J371" i="2"/>
  <c r="J373" i="2"/>
  <c r="J376" i="2"/>
  <c r="J367" i="2"/>
  <c r="J370" i="2"/>
  <c r="J372" i="2"/>
  <c r="J366" i="2"/>
  <c r="J375" i="2"/>
  <c r="D354" i="2"/>
  <c r="D355" i="2" s="1"/>
  <c r="G40" i="3" l="1"/>
  <c r="G40" i="8" s="1"/>
  <c r="G23" i="8"/>
  <c r="A198" i="3"/>
  <c r="A73" i="3"/>
  <c r="A75" i="3" s="1"/>
  <c r="A78" i="3" s="1"/>
  <c r="A159" i="3"/>
  <c r="A233" i="3"/>
  <c r="A234" i="3" s="1"/>
  <c r="W42" i="3"/>
  <c r="W44" i="3" s="1"/>
  <c r="D21" i="2"/>
  <c r="D22" i="2" s="1"/>
  <c r="D23" i="2" s="1"/>
  <c r="A120" i="3"/>
  <c r="C38" i="3"/>
  <c r="C38" i="8" s="1"/>
  <c r="A160" i="3"/>
  <c r="A27" i="3"/>
  <c r="A28" i="3" s="1"/>
  <c r="A29" i="3" s="1"/>
  <c r="A32" i="3" s="1"/>
  <c r="L28" i="3"/>
  <c r="L29" i="3" s="1"/>
  <c r="L32" i="3" s="1"/>
  <c r="D356" i="2"/>
  <c r="D357" i="2" s="1"/>
  <c r="N380" i="2"/>
  <c r="AE420" i="2"/>
  <c r="AE435" i="2"/>
  <c r="J380" i="2"/>
  <c r="P380" i="2"/>
  <c r="AE438" i="2"/>
  <c r="AE423" i="2"/>
  <c r="AE441" i="2"/>
  <c r="AE426" i="2"/>
  <c r="L504" i="2"/>
  <c r="I117" i="7" s="1"/>
  <c r="K502" i="2"/>
  <c r="H115" i="7" s="1"/>
  <c r="J502" i="2"/>
  <c r="G115" i="7" s="1"/>
  <c r="AE380" i="2"/>
  <c r="L502" i="2"/>
  <c r="I115" i="7" s="1"/>
  <c r="AE430" i="2"/>
  <c r="AE415" i="2"/>
  <c r="D140" i="2"/>
  <c r="K503" i="2"/>
  <c r="H116" i="7" s="1"/>
  <c r="L380" i="2"/>
  <c r="J505" i="2"/>
  <c r="G118" i="7" s="1"/>
  <c r="G380" i="2"/>
  <c r="AE436" i="2"/>
  <c r="AE421" i="2"/>
  <c r="K380" i="2"/>
  <c r="AE424" i="2"/>
  <c r="AE439" i="2"/>
  <c r="D291" i="2"/>
  <c r="AE434" i="2"/>
  <c r="AE419" i="2"/>
  <c r="D80" i="2"/>
  <c r="D81" i="2" s="1"/>
  <c r="K505" i="2"/>
  <c r="H118" i="7" s="1"/>
  <c r="H380" i="2"/>
  <c r="J503" i="2"/>
  <c r="G116" i="7" s="1"/>
  <c r="AE431" i="2"/>
  <c r="AE416" i="2"/>
  <c r="L503" i="2"/>
  <c r="I116" i="7" s="1"/>
  <c r="K504" i="2"/>
  <c r="H117" i="7" s="1"/>
  <c r="J504" i="2"/>
  <c r="G117" i="7" s="1"/>
  <c r="AE432" i="2"/>
  <c r="AE417" i="2"/>
  <c r="AE440" i="2"/>
  <c r="AE425" i="2"/>
  <c r="D406" i="2"/>
  <c r="D407" i="2" s="1"/>
  <c r="L505" i="2"/>
  <c r="I118" i="7" s="1"/>
  <c r="I380" i="2"/>
  <c r="AE437" i="2"/>
  <c r="AE422" i="2"/>
  <c r="D236" i="2"/>
  <c r="D237" i="2" s="1"/>
  <c r="A161" i="3" l="1"/>
  <c r="A162" i="3" s="1"/>
  <c r="A236" i="3"/>
  <c r="A237" i="3" s="1"/>
  <c r="L33" i="3"/>
  <c r="L34" i="3" s="1"/>
  <c r="L35" i="3" s="1"/>
  <c r="A121" i="3"/>
  <c r="A33" i="3"/>
  <c r="A34" i="3" s="1"/>
  <c r="A35" i="3" s="1"/>
  <c r="A79" i="3"/>
  <c r="A80" i="3" s="1"/>
  <c r="D82" i="2"/>
  <c r="D358" i="2"/>
  <c r="D359" i="2" s="1"/>
  <c r="AE427" i="2"/>
  <c r="AE428" i="2" s="1"/>
  <c r="D292" i="2"/>
  <c r="D293" i="2" s="1"/>
  <c r="AE442" i="2"/>
  <c r="AE443" i="2" s="1"/>
  <c r="D141" i="2"/>
  <c r="D408" i="2"/>
  <c r="A122" i="3" l="1"/>
  <c r="A36" i="3"/>
  <c r="A38" i="3" s="1"/>
  <c r="A40" i="3" s="1"/>
  <c r="L36" i="3"/>
  <c r="L38" i="3" s="1"/>
  <c r="L40" i="3" s="1"/>
  <c r="A81" i="3"/>
  <c r="A82" i="3" s="1"/>
  <c r="AH231" i="2"/>
  <c r="D84" i="2"/>
  <c r="D409" i="2"/>
  <c r="D360" i="2"/>
  <c r="D26" i="2"/>
  <c r="D294" i="2"/>
  <c r="A123" i="3" l="1"/>
  <c r="A124" i="3" s="1"/>
  <c r="A83" i="3"/>
  <c r="A84" i="3" s="1"/>
  <c r="A85" i="3" s="1"/>
  <c r="D410" i="2"/>
  <c r="D411" i="2" s="1"/>
  <c r="AH234" i="2"/>
  <c r="D85" i="2"/>
  <c r="D86" i="2" s="1"/>
  <c r="AH232" i="2"/>
  <c r="D27" i="2"/>
  <c r="AH233" i="2" s="1"/>
  <c r="D295" i="2"/>
  <c r="D296" i="2" s="1"/>
  <c r="D144" i="2"/>
  <c r="D361" i="2"/>
  <c r="A87" i="3" l="1"/>
  <c r="A88" i="3" s="1"/>
  <c r="AH320" i="2"/>
  <c r="D87" i="2"/>
  <c r="D89" i="2" s="1"/>
  <c r="AH268" i="2"/>
  <c r="D145" i="2"/>
  <c r="D297" i="2"/>
  <c r="D298" i="2" s="1"/>
  <c r="D299" i="2" s="1"/>
  <c r="D28" i="2"/>
  <c r="D412" i="2"/>
  <c r="AH319" i="2"/>
  <c r="AE52" i="2" l="1"/>
  <c r="D302" i="2"/>
  <c r="D146" i="2"/>
  <c r="D257" i="2"/>
  <c r="AH267" i="2"/>
  <c r="D413" i="2"/>
  <c r="D90" i="2"/>
  <c r="AH235" i="2"/>
  <c r="AH257" i="2"/>
  <c r="D29" i="2"/>
  <c r="AH256" i="2" l="1"/>
  <c r="AH236" i="2"/>
  <c r="AE32" i="2"/>
  <c r="D31" i="2"/>
  <c r="D32" i="2" s="1"/>
  <c r="D147" i="2"/>
  <c r="D149" i="2" s="1"/>
  <c r="D258" i="2"/>
  <c r="D259" i="2" s="1"/>
  <c r="D370" i="2"/>
  <c r="AH240" i="2" l="1"/>
  <c r="D94" i="2"/>
  <c r="D371" i="2"/>
  <c r="D372" i="2" s="1"/>
  <c r="D150" i="2"/>
  <c r="D260" i="2"/>
  <c r="D547" i="2" l="1"/>
  <c r="D548" i="2" s="1"/>
  <c r="D373" i="2"/>
  <c r="D374" i="2" s="1"/>
  <c r="D307" i="2"/>
  <c r="D308" i="2" s="1"/>
  <c r="D419" i="2"/>
  <c r="D95" i="2"/>
  <c r="D261" i="2"/>
  <c r="D262" i="2" s="1"/>
  <c r="D36" i="2"/>
  <c r="D263" i="2" l="1"/>
  <c r="D265" i="2" s="1"/>
  <c r="D549" i="2"/>
  <c r="D309" i="2"/>
  <c r="D420" i="2"/>
  <c r="D37" i="2"/>
  <c r="D38" i="2" s="1"/>
  <c r="D96" i="2"/>
  <c r="D98" i="2" s="1"/>
  <c r="D375" i="2"/>
  <c r="D550" i="2" l="1"/>
  <c r="AH258" i="2"/>
  <c r="AH242" i="2"/>
  <c r="D310" i="2"/>
  <c r="D311" i="2" s="1"/>
  <c r="D154" i="2"/>
  <c r="D99" i="2"/>
  <c r="D100" i="2" s="1"/>
  <c r="D101" i="2" s="1"/>
  <c r="D266" i="2"/>
  <c r="D267" i="2" s="1"/>
  <c r="D376" i="2"/>
  <c r="D377" i="2" s="1"/>
  <c r="AH241" i="2"/>
  <c r="D40" i="2"/>
  <c r="D421" i="2"/>
  <c r="D268" i="2" l="1"/>
  <c r="D269" i="2" s="1"/>
  <c r="D270" i="2" s="1"/>
  <c r="D551" i="2"/>
  <c r="D552" i="2" s="1"/>
  <c r="D41" i="2"/>
  <c r="D155" i="2"/>
  <c r="D102" i="2"/>
  <c r="D312" i="2"/>
  <c r="D378" i="2"/>
  <c r="D422" i="2"/>
  <c r="D423" i="2" s="1"/>
  <c r="D553" i="2" l="1"/>
  <c r="D554" i="2" s="1"/>
  <c r="AH286" i="2"/>
  <c r="AH302" i="2"/>
  <c r="AH306" i="2"/>
  <c r="AH305" i="2"/>
  <c r="D42" i="2"/>
  <c r="D424" i="2"/>
  <c r="D425" i="2" s="1"/>
  <c r="D103" i="2"/>
  <c r="D104" i="2" s="1"/>
  <c r="D156" i="2"/>
  <c r="D158" i="2" l="1"/>
  <c r="D159" i="2" s="1"/>
  <c r="D160" i="2" s="1"/>
  <c r="D105" i="2"/>
  <c r="D106" i="2" s="1"/>
  <c r="D43" i="2"/>
  <c r="D44" i="2" s="1"/>
  <c r="D426" i="2"/>
  <c r="D427" i="2" l="1"/>
  <c r="D161" i="2"/>
  <c r="D45" i="2"/>
  <c r="D107" i="2"/>
  <c r="D108" i="2" l="1"/>
  <c r="D162" i="2"/>
  <c r="D46" i="2"/>
  <c r="D428" i="2"/>
  <c r="D47" i="2" l="1"/>
  <c r="D163" i="2"/>
  <c r="D164" i="2" s="1"/>
  <c r="D109" i="2"/>
  <c r="D110" i="2" l="1"/>
  <c r="D165" i="2"/>
  <c r="D48" i="2"/>
  <c r="D49" i="2" l="1"/>
  <c r="D166" i="2"/>
  <c r="D167" i="2" s="1"/>
  <c r="D111" i="2"/>
  <c r="D434" i="2"/>
  <c r="D435" i="2" l="1"/>
  <c r="D112" i="2"/>
  <c r="D113" i="2" s="1"/>
  <c r="D168" i="2"/>
  <c r="D169" i="2" s="1"/>
  <c r="D50" i="2"/>
  <c r="D114" i="2" l="1"/>
  <c r="AH259" i="2"/>
  <c r="AH246" i="2"/>
  <c r="D51" i="2"/>
  <c r="D52" i="2" s="1"/>
  <c r="D436" i="2"/>
  <c r="D437" i="2" s="1"/>
  <c r="D170" i="2"/>
  <c r="D171" i="2" s="1"/>
  <c r="AE195" i="2" l="1"/>
  <c r="AH316" i="2"/>
  <c r="D438" i="2"/>
  <c r="AE56" i="2"/>
  <c r="AH304" i="2"/>
  <c r="AH262" i="2"/>
  <c r="AH260" i="2"/>
  <c r="AE57" i="2"/>
  <c r="D53" i="2"/>
  <c r="D172" i="2"/>
  <c r="D439" i="2" l="1"/>
  <c r="D173" i="2"/>
  <c r="D54" i="2"/>
  <c r="D55" i="2" l="1"/>
  <c r="D56" i="2" s="1"/>
  <c r="AH263" i="2"/>
  <c r="D440" i="2"/>
  <c r="AH299" i="2" l="1"/>
  <c r="D441" i="2"/>
  <c r="D442" i="2" s="1"/>
  <c r="D443" i="2" l="1"/>
  <c r="AH261" i="2"/>
  <c r="AE203" i="2"/>
  <c r="D460" i="2" l="1"/>
  <c r="D461" i="2" l="1"/>
  <c r="D462" i="2" s="1"/>
  <c r="D463" i="2" l="1"/>
  <c r="D464" i="2" l="1"/>
  <c r="D465" i="2" s="1"/>
  <c r="D466" i="2" l="1"/>
  <c r="D467" i="2" l="1"/>
  <c r="D468" i="2" s="1"/>
  <c r="D469" i="2" l="1"/>
  <c r="L199" i="2" l="1"/>
  <c r="T199" i="2"/>
  <c r="P199" i="2"/>
  <c r="N199" i="2"/>
  <c r="V199" i="2"/>
  <c r="M199" i="2"/>
  <c r="K199" i="2"/>
  <c r="R199" i="2"/>
  <c r="U199" i="2"/>
  <c r="S199" i="2"/>
  <c r="Q199" i="2"/>
  <c r="O199" i="2"/>
  <c r="J199" i="2"/>
  <c r="I199" i="2"/>
  <c r="S200" i="2"/>
  <c r="N200" i="2"/>
  <c r="K200" i="2"/>
  <c r="I200" i="2"/>
  <c r="R200" i="2"/>
  <c r="Q200" i="2"/>
  <c r="M200" i="2"/>
  <c r="L200" i="2"/>
  <c r="T200" i="2"/>
  <c r="V200" i="2"/>
  <c r="U200" i="2"/>
  <c r="P200" i="2"/>
  <c r="O200" i="2"/>
  <c r="J200" i="2"/>
  <c r="M201" i="2"/>
  <c r="I201" i="2"/>
  <c r="U201" i="2"/>
  <c r="O201" i="2"/>
  <c r="N201" i="2"/>
  <c r="Q201" i="2"/>
  <c r="P201" i="2"/>
  <c r="J201" i="2"/>
  <c r="T201" i="2"/>
  <c r="V201" i="2"/>
  <c r="S201" i="2"/>
  <c r="R201" i="2"/>
  <c r="L201" i="2"/>
  <c r="K201" i="2"/>
  <c r="D475" i="2" l="1"/>
  <c r="D476" i="2" s="1"/>
  <c r="U361" i="2" l="1"/>
  <c r="U363" i="2" s="1"/>
  <c r="U372" i="2" s="1"/>
  <c r="O361" i="2"/>
  <c r="O363" i="2" s="1"/>
  <c r="M361" i="2"/>
  <c r="M363" i="2" s="1"/>
  <c r="Q361" i="2"/>
  <c r="Q363" i="2" s="1"/>
  <c r="D477" i="2"/>
  <c r="D478" i="2" s="1"/>
  <c r="U368" i="2" l="1"/>
  <c r="U374" i="2"/>
  <c r="U377" i="2"/>
  <c r="U367" i="2"/>
  <c r="U375" i="2"/>
  <c r="U378" i="2"/>
  <c r="U370" i="2"/>
  <c r="U373" i="2"/>
  <c r="U376" i="2"/>
  <c r="U371" i="2"/>
  <c r="U366" i="2"/>
  <c r="U380" i="2" s="1"/>
  <c r="H554" i="2"/>
  <c r="O376" i="2"/>
  <c r="O373" i="2"/>
  <c r="O367" i="2"/>
  <c r="O370" i="2"/>
  <c r="O378" i="2"/>
  <c r="O375" i="2"/>
  <c r="O372" i="2"/>
  <c r="O366" i="2"/>
  <c r="O368" i="2"/>
  <c r="O371" i="2"/>
  <c r="O377" i="2"/>
  <c r="O374" i="2"/>
  <c r="M376" i="2"/>
  <c r="M373" i="2"/>
  <c r="M367" i="2"/>
  <c r="M370" i="2"/>
  <c r="M375" i="2"/>
  <c r="M378" i="2"/>
  <c r="M372" i="2"/>
  <c r="M366" i="2"/>
  <c r="M377" i="2"/>
  <c r="M374" i="2"/>
  <c r="M368" i="2"/>
  <c r="M371" i="2"/>
  <c r="Q367" i="2"/>
  <c r="Q370" i="2"/>
  <c r="Q378" i="2"/>
  <c r="Q375" i="2"/>
  <c r="Q372" i="2"/>
  <c r="Q366" i="2"/>
  <c r="Q374" i="2"/>
  <c r="Q377" i="2"/>
  <c r="Q368" i="2"/>
  <c r="Q371" i="2"/>
  <c r="Q376" i="2"/>
  <c r="Q373" i="2"/>
  <c r="D479" i="2"/>
  <c r="D480" i="2" s="1"/>
  <c r="O380" i="2" l="1"/>
  <c r="Q380" i="2"/>
  <c r="M380" i="2"/>
  <c r="D481" i="2"/>
  <c r="D482" i="2" l="1"/>
  <c r="D483" i="2" s="1"/>
  <c r="D484" i="2" s="1"/>
  <c r="L156" i="2"/>
  <c r="H200" i="2" l="1"/>
  <c r="H201" i="2"/>
  <c r="J142" i="2"/>
  <c r="J82" i="2"/>
  <c r="L38" i="2"/>
  <c r="J24" i="2"/>
  <c r="K154" i="2"/>
  <c r="K155" i="2" s="1"/>
  <c r="K156" i="2" s="1"/>
  <c r="K94" i="2"/>
  <c r="K95" i="2" s="1"/>
  <c r="K96" i="2" s="1"/>
  <c r="K36" i="2"/>
  <c r="K37" i="2" s="1"/>
  <c r="H199" i="2"/>
  <c r="F172" i="2"/>
  <c r="L96" i="2"/>
  <c r="S522" i="2" l="1"/>
  <c r="T522" i="2" s="1"/>
  <c r="F24" i="2"/>
  <c r="F82" i="2"/>
  <c r="F54" i="2"/>
  <c r="F243" i="2"/>
  <c r="S525" i="2"/>
  <c r="T525" i="2" s="1"/>
  <c r="Q234" i="2"/>
  <c r="U234" i="2"/>
  <c r="T234" i="2"/>
  <c r="S234" i="2"/>
  <c r="R234" i="2"/>
  <c r="P234" i="2"/>
  <c r="K234" i="2"/>
  <c r="O234" i="2"/>
  <c r="N234" i="2"/>
  <c r="M234" i="2"/>
  <c r="L234" i="2"/>
  <c r="J29" i="2"/>
  <c r="V234" i="2"/>
  <c r="D490" i="2"/>
  <c r="J147" i="2"/>
  <c r="I147" i="2"/>
  <c r="F142" i="2"/>
  <c r="O529" i="2"/>
  <c r="S529" i="2"/>
  <c r="T529" i="2" s="1"/>
  <c r="S528" i="2"/>
  <c r="T528" i="2" s="1"/>
  <c r="M553" i="2"/>
  <c r="M554" i="2" s="1"/>
  <c r="J87" i="2"/>
  <c r="I87" i="2"/>
  <c r="K38" i="2"/>
  <c r="G200" i="2"/>
  <c r="A200" i="2" s="1"/>
  <c r="G201" i="2"/>
  <c r="G199" i="2"/>
  <c r="F112" i="2"/>
  <c r="S527" i="2"/>
  <c r="T527" i="2" s="1"/>
  <c r="V95" i="2"/>
  <c r="J155" i="2"/>
  <c r="J95" i="2"/>
  <c r="V37" i="2"/>
  <c r="V155" i="2"/>
  <c r="J37" i="2"/>
  <c r="J156" i="2" l="1"/>
  <c r="V96" i="2"/>
  <c r="I529" i="2"/>
  <c r="J529" i="2" s="1"/>
  <c r="P529" i="2" s="1"/>
  <c r="V156" i="2"/>
  <c r="J96" i="2"/>
  <c r="I506" i="2"/>
  <c r="F119" i="7" s="1"/>
  <c r="I234" i="2"/>
  <c r="I29" i="2"/>
  <c r="L553" i="2"/>
  <c r="L554" i="2" s="1"/>
  <c r="J234" i="2"/>
  <c r="K553" i="2"/>
  <c r="K554" i="2" s="1"/>
  <c r="F237" i="2"/>
  <c r="S526" i="2"/>
  <c r="T526" i="2" s="1"/>
  <c r="S524" i="2"/>
  <c r="O525" i="2"/>
  <c r="I525" i="2"/>
  <c r="J525" i="2" s="1"/>
  <c r="P525" i="2" s="1"/>
  <c r="O524" i="2"/>
  <c r="I524" i="2"/>
  <c r="F173" i="2"/>
  <c r="I522" i="2"/>
  <c r="J522" i="2" s="1"/>
  <c r="P522" i="2" s="1"/>
  <c r="O522" i="2"/>
  <c r="V38" i="2"/>
  <c r="F35" i="2"/>
  <c r="F98" i="2"/>
  <c r="J231" i="2"/>
  <c r="O527" i="2"/>
  <c r="I527" i="2"/>
  <c r="J527" i="2" s="1"/>
  <c r="P527" i="2" s="1"/>
  <c r="D491" i="2"/>
  <c r="D492" i="2" s="1"/>
  <c r="G234" i="2"/>
  <c r="J38" i="2"/>
  <c r="H234" i="2"/>
  <c r="AE265" i="2"/>
  <c r="AE269" i="2" s="1"/>
  <c r="AE270" i="2" s="1"/>
  <c r="AE286" i="2" s="1"/>
  <c r="F86" i="2" l="1"/>
  <c r="F113" i="2"/>
  <c r="F153" i="2"/>
  <c r="Q530" i="2"/>
  <c r="Q531" i="2" s="1"/>
  <c r="Q539" i="2" s="1"/>
  <c r="F55" i="2"/>
  <c r="R361" i="2"/>
  <c r="R363" i="2" s="1"/>
  <c r="R366" i="2" s="1"/>
  <c r="J524" i="2"/>
  <c r="O526" i="2"/>
  <c r="I526" i="2"/>
  <c r="J526" i="2" s="1"/>
  <c r="P526" i="2" s="1"/>
  <c r="D493" i="2"/>
  <c r="F93" i="2"/>
  <c r="H232" i="2"/>
  <c r="I95" i="2"/>
  <c r="S530" i="2"/>
  <c r="S531" i="2" s="1"/>
  <c r="T524" i="2"/>
  <c r="T530" i="2" s="1"/>
  <c r="T531" i="2" s="1"/>
  <c r="O528" i="2"/>
  <c r="I528" i="2"/>
  <c r="J528" i="2" s="1"/>
  <c r="P528" i="2" s="1"/>
  <c r="I155" i="2"/>
  <c r="H530" i="2"/>
  <c r="H531" i="2" s="1"/>
  <c r="F28" i="2"/>
  <c r="H235" i="2" s="1"/>
  <c r="I37" i="2"/>
  <c r="F158" i="2"/>
  <c r="F40" i="2"/>
  <c r="G530" i="2"/>
  <c r="G531" i="2" s="1"/>
  <c r="S361" i="2"/>
  <c r="S363" i="2" s="1"/>
  <c r="F83" i="2"/>
  <c r="F87" i="2" s="1"/>
  <c r="AF361" i="2"/>
  <c r="AF363" i="2" s="1"/>
  <c r="F146" i="2"/>
  <c r="AF266" i="2"/>
  <c r="AF269" i="2" s="1"/>
  <c r="AF270" i="2" s="1"/>
  <c r="AF286" i="2" s="1"/>
  <c r="R378" i="2" l="1"/>
  <c r="Q540" i="2"/>
  <c r="R370" i="2"/>
  <c r="R367" i="2"/>
  <c r="R373" i="2"/>
  <c r="R372" i="2"/>
  <c r="R376" i="2"/>
  <c r="R375" i="2"/>
  <c r="Q536" i="2"/>
  <c r="I156" i="2"/>
  <c r="I169" i="2" s="1"/>
  <c r="Q541" i="2"/>
  <c r="Q534" i="2"/>
  <c r="Q538" i="2"/>
  <c r="Q537" i="2"/>
  <c r="A205" i="2"/>
  <c r="R371" i="2"/>
  <c r="R368" i="2"/>
  <c r="O530" i="2"/>
  <c r="O531" i="2" s="1"/>
  <c r="O539" i="2" s="1"/>
  <c r="R377" i="2"/>
  <c r="R374" i="2"/>
  <c r="AF377" i="2"/>
  <c r="AF374" i="2"/>
  <c r="AF368" i="2"/>
  <c r="AF371" i="2"/>
  <c r="AF373" i="2"/>
  <c r="AF376" i="2"/>
  <c r="AF367" i="2"/>
  <c r="AF370" i="2"/>
  <c r="AF378" i="2"/>
  <c r="AF366" i="2"/>
  <c r="AF375" i="2"/>
  <c r="AF372" i="2"/>
  <c r="G232" i="2"/>
  <c r="I38" i="2"/>
  <c r="I96" i="2"/>
  <c r="I109" i="2" s="1"/>
  <c r="S378" i="2"/>
  <c r="S375" i="2"/>
  <c r="S372" i="2"/>
  <c r="S366" i="2"/>
  <c r="S374" i="2"/>
  <c r="S377" i="2"/>
  <c r="S368" i="2"/>
  <c r="S371" i="2"/>
  <c r="S376" i="2"/>
  <c r="S373" i="2"/>
  <c r="S367" i="2"/>
  <c r="S370" i="2"/>
  <c r="G537" i="2"/>
  <c r="G548" i="2" s="1"/>
  <c r="G541" i="2"/>
  <c r="G552" i="2" s="1"/>
  <c r="G536" i="2"/>
  <c r="G540" i="2"/>
  <c r="G551" i="2" s="1"/>
  <c r="G534" i="2"/>
  <c r="G538" i="2"/>
  <c r="G549" i="2" s="1"/>
  <c r="G539" i="2"/>
  <c r="G550" i="2" s="1"/>
  <c r="R235" i="2"/>
  <c r="O235" i="2"/>
  <c r="M235" i="2"/>
  <c r="P235" i="2"/>
  <c r="L235" i="2"/>
  <c r="V235" i="2"/>
  <c r="U235" i="2"/>
  <c r="T235" i="2"/>
  <c r="S235" i="2"/>
  <c r="K235" i="2"/>
  <c r="Q235" i="2"/>
  <c r="N235" i="2"/>
  <c r="I235" i="2"/>
  <c r="J235" i="2"/>
  <c r="I257" i="2"/>
  <c r="N257" i="2"/>
  <c r="F29" i="2"/>
  <c r="L257" i="2"/>
  <c r="T257" i="2"/>
  <c r="S257" i="2"/>
  <c r="U257" i="2"/>
  <c r="R257" i="2"/>
  <c r="Q257" i="2"/>
  <c r="P257" i="2"/>
  <c r="O257" i="2"/>
  <c r="K257" i="2"/>
  <c r="V257" i="2"/>
  <c r="J257" i="2"/>
  <c r="H257" i="2"/>
  <c r="M257" i="2"/>
  <c r="G257" i="2"/>
  <c r="G235" i="2"/>
  <c r="F143" i="2"/>
  <c r="F147" i="2" s="1"/>
  <c r="D494" i="2"/>
  <c r="T537" i="2"/>
  <c r="T540" i="2"/>
  <c r="T539" i="2"/>
  <c r="T536" i="2"/>
  <c r="T541" i="2"/>
  <c r="T534" i="2"/>
  <c r="T538" i="2"/>
  <c r="H541" i="2"/>
  <c r="H536" i="2"/>
  <c r="H534" i="2"/>
  <c r="H537" i="2"/>
  <c r="H538" i="2"/>
  <c r="H540" i="2"/>
  <c r="H539" i="2"/>
  <c r="S537" i="2"/>
  <c r="S541" i="2"/>
  <c r="S536" i="2"/>
  <c r="S538" i="2"/>
  <c r="S539" i="2"/>
  <c r="S540" i="2"/>
  <c r="S534" i="2"/>
  <c r="I530" i="2"/>
  <c r="I531" i="2" s="1"/>
  <c r="J530" i="2"/>
  <c r="J531" i="2" s="1"/>
  <c r="P524" i="2"/>
  <c r="P530" i="2" s="1"/>
  <c r="P531" i="2" s="1"/>
  <c r="O540" i="2" l="1"/>
  <c r="R380" i="2"/>
  <c r="O534" i="2"/>
  <c r="Q542" i="2"/>
  <c r="Q543" i="2" s="1"/>
  <c r="O536" i="2"/>
  <c r="O541" i="2"/>
  <c r="O537" i="2"/>
  <c r="O538" i="2"/>
  <c r="T542" i="2"/>
  <c r="T543" i="2" s="1"/>
  <c r="S380" i="2"/>
  <c r="AF380" i="2"/>
  <c r="AF436" i="2"/>
  <c r="AF421" i="2"/>
  <c r="S237" i="2"/>
  <c r="N527" i="2"/>
  <c r="AF424" i="2"/>
  <c r="AF439" i="2"/>
  <c r="N526" i="2"/>
  <c r="AF415" i="2"/>
  <c r="AF430" i="2"/>
  <c r="S542" i="2"/>
  <c r="S543" i="2" s="1"/>
  <c r="P538" i="2"/>
  <c r="P537" i="2"/>
  <c r="P534" i="2"/>
  <c r="P539" i="2"/>
  <c r="P541" i="2"/>
  <c r="P536" i="2"/>
  <c r="P540" i="2"/>
  <c r="N528" i="2"/>
  <c r="AF434" i="2"/>
  <c r="AF419" i="2"/>
  <c r="J541" i="2"/>
  <c r="J536" i="2"/>
  <c r="J540" i="2"/>
  <c r="J534" i="2"/>
  <c r="J539" i="2"/>
  <c r="J537" i="2"/>
  <c r="J538" i="2"/>
  <c r="N256" i="2"/>
  <c r="L236" i="2"/>
  <c r="L237" i="2" s="1"/>
  <c r="L256" i="2"/>
  <c r="K256" i="2"/>
  <c r="Q256" i="2"/>
  <c r="N236" i="2"/>
  <c r="N237" i="2" s="1"/>
  <c r="O256" i="2"/>
  <c r="K236" i="2"/>
  <c r="K237" i="2" s="1"/>
  <c r="T236" i="2"/>
  <c r="T237" i="2" s="1"/>
  <c r="V256" i="2"/>
  <c r="S236" i="2"/>
  <c r="U256" i="2"/>
  <c r="T256" i="2"/>
  <c r="S256" i="2"/>
  <c r="R256" i="2"/>
  <c r="P256" i="2"/>
  <c r="M256" i="2"/>
  <c r="V236" i="2"/>
  <c r="V237" i="2" s="1"/>
  <c r="J256" i="2"/>
  <c r="U236" i="2"/>
  <c r="U237" i="2" s="1"/>
  <c r="P236" i="2"/>
  <c r="P237" i="2" s="1"/>
  <c r="I256" i="2"/>
  <c r="R236" i="2"/>
  <c r="R237" i="2" s="1"/>
  <c r="Q236" i="2"/>
  <c r="Q237" i="2" s="1"/>
  <c r="O236" i="2"/>
  <c r="O237" i="2" s="1"/>
  <c r="M236" i="2"/>
  <c r="M237" i="2" s="1"/>
  <c r="J236" i="2"/>
  <c r="J237" i="2" s="1"/>
  <c r="I236" i="2"/>
  <c r="I237" i="2" s="1"/>
  <c r="G542" i="2"/>
  <c r="G543" i="2" s="1"/>
  <c r="AF431" i="2"/>
  <c r="AF416" i="2"/>
  <c r="N529" i="2"/>
  <c r="AF440" i="2"/>
  <c r="AF425" i="2"/>
  <c r="N525" i="2"/>
  <c r="G553" i="2"/>
  <c r="AF437" i="2"/>
  <c r="AF422" i="2"/>
  <c r="I51" i="2"/>
  <c r="AF420" i="2"/>
  <c r="AF435" i="2"/>
  <c r="I541" i="2"/>
  <c r="I536" i="2"/>
  <c r="I540" i="2"/>
  <c r="I539" i="2"/>
  <c r="I537" i="2"/>
  <c r="I538" i="2"/>
  <c r="I534" i="2"/>
  <c r="D495" i="2"/>
  <c r="AF417" i="2"/>
  <c r="AF432" i="2"/>
  <c r="AF438" i="2"/>
  <c r="AF423" i="2"/>
  <c r="H542" i="2"/>
  <c r="H543" i="2" s="1"/>
  <c r="AF441" i="2"/>
  <c r="AF426" i="2"/>
  <c r="O542" i="2" l="1"/>
  <c r="O543" i="2" s="1"/>
  <c r="J542" i="2"/>
  <c r="J543" i="2" s="1"/>
  <c r="P542" i="2"/>
  <c r="P543" i="2" s="1"/>
  <c r="D496" i="2"/>
  <c r="AF427" i="2"/>
  <c r="AF428" i="2" s="1"/>
  <c r="AF442" i="2"/>
  <c r="AF443" i="2" s="1"/>
  <c r="N530" i="2"/>
  <c r="N531" i="2" s="1"/>
  <c r="I542" i="2"/>
  <c r="I543" i="2" s="1"/>
  <c r="S311" i="2"/>
  <c r="S578" i="2"/>
  <c r="S592" i="2"/>
  <c r="F248" i="2" l="1"/>
  <c r="H585" i="2"/>
  <c r="I585" i="2"/>
  <c r="G585" i="2"/>
  <c r="J585" i="2"/>
  <c r="D497" i="2"/>
  <c r="D498" i="2" s="1"/>
  <c r="D499" i="2" s="1"/>
  <c r="I584" i="2"/>
  <c r="H584" i="2"/>
  <c r="G584" i="2"/>
  <c r="N539" i="2"/>
  <c r="N541" i="2"/>
  <c r="N538" i="2"/>
  <c r="N534" i="2"/>
  <c r="N536" i="2"/>
  <c r="N537" i="2"/>
  <c r="N540" i="2"/>
  <c r="J586" i="2"/>
  <c r="H586" i="2"/>
  <c r="G586" i="2"/>
  <c r="I586" i="2"/>
  <c r="J583" i="2"/>
  <c r="I583" i="2"/>
  <c r="F594" i="2"/>
  <c r="F50" i="2"/>
  <c r="U108" i="2"/>
  <c r="U109" i="2" s="1"/>
  <c r="K108" i="2"/>
  <c r="K109" i="2" s="1"/>
  <c r="J108" i="2"/>
  <c r="J109" i="2" s="1"/>
  <c r="T108" i="2"/>
  <c r="T109" i="2" s="1"/>
  <c r="S108" i="2"/>
  <c r="S109" i="2" s="1"/>
  <c r="R108" i="2"/>
  <c r="R109" i="2" s="1"/>
  <c r="Q108" i="2"/>
  <c r="Q109" i="2" s="1"/>
  <c r="P108" i="2"/>
  <c r="P109" i="2" s="1"/>
  <c r="O108" i="2"/>
  <c r="O109" i="2" s="1"/>
  <c r="V108" i="2"/>
  <c r="V109" i="2" s="1"/>
  <c r="N108" i="2"/>
  <c r="N109" i="2" s="1"/>
  <c r="L108" i="2"/>
  <c r="L109" i="2" s="1"/>
  <c r="H108" i="2"/>
  <c r="M108" i="2"/>
  <c r="M109" i="2" s="1"/>
  <c r="G108" i="2"/>
  <c r="F108" i="2"/>
  <c r="N168" i="2"/>
  <c r="N169" i="2" s="1"/>
  <c r="V168" i="2"/>
  <c r="V169" i="2" s="1"/>
  <c r="T168" i="2"/>
  <c r="T169" i="2" s="1"/>
  <c r="M168" i="2"/>
  <c r="M169" i="2" s="1"/>
  <c r="R168" i="2"/>
  <c r="R169" i="2" s="1"/>
  <c r="O168" i="2"/>
  <c r="O169" i="2" s="1"/>
  <c r="L168" i="2"/>
  <c r="L169" i="2" s="1"/>
  <c r="K168" i="2"/>
  <c r="K169" i="2" s="1"/>
  <c r="J168" i="2"/>
  <c r="J169" i="2" s="1"/>
  <c r="H168" i="2"/>
  <c r="U168" i="2"/>
  <c r="U169" i="2" s="1"/>
  <c r="S168" i="2"/>
  <c r="S169" i="2" s="1"/>
  <c r="Q168" i="2"/>
  <c r="Q169" i="2" s="1"/>
  <c r="P168" i="2"/>
  <c r="P169" i="2" s="1"/>
  <c r="G168" i="2"/>
  <c r="F168" i="2"/>
  <c r="J587" i="2"/>
  <c r="I587" i="2"/>
  <c r="U579" i="2"/>
  <c r="I577" i="2" l="1"/>
  <c r="R50" i="2"/>
  <c r="R51" i="2" s="1"/>
  <c r="H50" i="2"/>
  <c r="H259" i="2" s="1"/>
  <c r="A168" i="2"/>
  <c r="J50" i="2"/>
  <c r="J51" i="2" s="1"/>
  <c r="J572" i="2"/>
  <c r="H572" i="2"/>
  <c r="G572" i="2"/>
  <c r="I572" i="2"/>
  <c r="L50" i="2"/>
  <c r="L51" i="2" s="1"/>
  <c r="A108" i="2"/>
  <c r="U50" i="2"/>
  <c r="U51" i="2" s="1"/>
  <c r="J573" i="2"/>
  <c r="I573" i="2"/>
  <c r="V50" i="2"/>
  <c r="V51" i="2" s="1"/>
  <c r="I259" i="2"/>
  <c r="K50" i="2"/>
  <c r="K51" i="2" s="1"/>
  <c r="O50" i="2"/>
  <c r="O51" i="2" s="1"/>
  <c r="M50" i="2"/>
  <c r="M51" i="2" s="1"/>
  <c r="J569" i="2"/>
  <c r="I569" i="2"/>
  <c r="N50" i="2"/>
  <c r="N51" i="2" s="1"/>
  <c r="P50" i="2"/>
  <c r="P51" i="2" s="1"/>
  <c r="I596" i="2"/>
  <c r="I246" i="2" s="1"/>
  <c r="I248" i="2" s="1"/>
  <c r="F580" i="2"/>
  <c r="I570" i="2"/>
  <c r="H570" i="2"/>
  <c r="G570" i="2"/>
  <c r="H571" i="2"/>
  <c r="I571" i="2"/>
  <c r="J571" i="2"/>
  <c r="G571" i="2"/>
  <c r="Q50" i="2"/>
  <c r="Q51" i="2" s="1"/>
  <c r="I591" i="2"/>
  <c r="N542" i="2"/>
  <c r="N543" i="2" s="1"/>
  <c r="S50" i="2"/>
  <c r="S51" i="2" s="1"/>
  <c r="F250" i="2"/>
  <c r="T50" i="2"/>
  <c r="T51" i="2" s="1"/>
  <c r="G50" i="2"/>
  <c r="U259" i="2" l="1"/>
  <c r="V259" i="2"/>
  <c r="L596" i="2"/>
  <c r="L246" i="2" s="1"/>
  <c r="L248" i="2" s="1"/>
  <c r="S596" i="2"/>
  <c r="S246" i="2" s="1"/>
  <c r="S248" i="2" s="1"/>
  <c r="O259" i="2"/>
  <c r="S591" i="2"/>
  <c r="L259" i="2"/>
  <c r="J259" i="2"/>
  <c r="L577" i="2"/>
  <c r="S577" i="2"/>
  <c r="T577" i="2"/>
  <c r="V591" i="2"/>
  <c r="J596" i="2"/>
  <c r="J246" i="2" s="1"/>
  <c r="J248" i="2" s="1"/>
  <c r="T596" i="2"/>
  <c r="T246" i="2" s="1"/>
  <c r="T248" i="2" s="1"/>
  <c r="V596" i="2"/>
  <c r="V246" i="2" s="1"/>
  <c r="V248" i="2" s="1"/>
  <c r="J591" i="2"/>
  <c r="T591" i="2"/>
  <c r="O591" i="2"/>
  <c r="R577" i="2"/>
  <c r="S259" i="2"/>
  <c r="R596" i="2"/>
  <c r="R246" i="2" s="1"/>
  <c r="R248" i="2" s="1"/>
  <c r="P591" i="2"/>
  <c r="P577" i="2"/>
  <c r="U591" i="2"/>
  <c r="P596" i="2"/>
  <c r="P246" i="2" s="1"/>
  <c r="P248" i="2" s="1"/>
  <c r="U577" i="2"/>
  <c r="K259" i="2"/>
  <c r="U596" i="2"/>
  <c r="U246" i="2" s="1"/>
  <c r="U248" i="2" s="1"/>
  <c r="G591" i="2"/>
  <c r="K591" i="2"/>
  <c r="N259" i="2"/>
  <c r="V577" i="2"/>
  <c r="G577" i="2"/>
  <c r="K577" i="2"/>
  <c r="G596" i="2"/>
  <c r="K596" i="2"/>
  <c r="K246" i="2" s="1"/>
  <c r="K248" i="2" s="1"/>
  <c r="M591" i="2"/>
  <c r="A50" i="2"/>
  <c r="G259" i="2"/>
  <c r="R591" i="2"/>
  <c r="M577" i="2"/>
  <c r="P259" i="2"/>
  <c r="Q577" i="2"/>
  <c r="N577" i="2"/>
  <c r="M596" i="2"/>
  <c r="M246" i="2" s="1"/>
  <c r="M248" i="2" s="1"/>
  <c r="M259" i="2"/>
  <c r="H591" i="2"/>
  <c r="Q596" i="2"/>
  <c r="Q246" i="2" s="1"/>
  <c r="Q248" i="2" s="1"/>
  <c r="N596" i="2"/>
  <c r="N246" i="2" s="1"/>
  <c r="N248" i="2" s="1"/>
  <c r="Q259" i="2"/>
  <c r="H577" i="2"/>
  <c r="Q591" i="2"/>
  <c r="N591" i="2"/>
  <c r="O577" i="2"/>
  <c r="T259" i="2"/>
  <c r="H596" i="2"/>
  <c r="H246" i="2" s="1"/>
  <c r="H248" i="2" s="1"/>
  <c r="O596" i="2"/>
  <c r="O246" i="2" s="1"/>
  <c r="O248" i="2" s="1"/>
  <c r="R259" i="2"/>
  <c r="L591" i="2"/>
  <c r="J577" i="2"/>
  <c r="F596" i="2" l="1"/>
  <c r="A596" i="2"/>
  <c r="G246" i="2"/>
  <c r="G248" i="2" s="1"/>
  <c r="A248" i="2" l="1"/>
  <c r="J554" i="2"/>
  <c r="V243" i="2"/>
  <c r="V250" i="2" s="1"/>
  <c r="V564" i="2" l="1"/>
  <c r="V563" i="2"/>
  <c r="V110" i="2" l="1"/>
  <c r="V170" i="2"/>
  <c r="V52" i="2"/>
  <c r="Z36" i="3" l="1"/>
  <c r="Z44" i="3" s="1"/>
  <c r="F292" i="2" l="1"/>
  <c r="F295" i="2"/>
  <c r="F298" i="2"/>
  <c r="F293" i="2"/>
  <c r="AB36" i="3"/>
  <c r="AB44" i="3" s="1"/>
  <c r="H24" i="2" l="1"/>
  <c r="F33" i="2"/>
  <c r="F296" i="2"/>
  <c r="F91" i="2"/>
  <c r="F151" i="2"/>
  <c r="F149" i="2"/>
  <c r="H82" i="2"/>
  <c r="H87" i="2" s="1"/>
  <c r="H95" i="2" s="1"/>
  <c r="H96" i="2" s="1"/>
  <c r="H109" i="2" s="1"/>
  <c r="H142" i="2"/>
  <c r="H147" i="2" s="1"/>
  <c r="H155" i="2" s="1"/>
  <c r="H156" i="2" s="1"/>
  <c r="H169" i="2" s="1"/>
  <c r="AC20" i="3"/>
  <c r="AB22" i="3" l="1"/>
  <c r="AB20" i="3"/>
  <c r="Z23" i="3"/>
  <c r="AA44" i="3" s="1"/>
  <c r="AA23" i="3"/>
  <c r="AC44" i="3" s="1"/>
  <c r="H583" i="2"/>
  <c r="H569" i="2"/>
  <c r="H231" i="2"/>
  <c r="H29" i="2"/>
  <c r="F503" i="2"/>
  <c r="C116" i="7" s="1"/>
  <c r="F505" i="2"/>
  <c r="C118" i="7" s="1"/>
  <c r="F504" i="2"/>
  <c r="C117" i="7" s="1"/>
  <c r="F297" i="2"/>
  <c r="G24" i="2"/>
  <c r="H506" i="2"/>
  <c r="E119" i="7" s="1"/>
  <c r="F294" i="2"/>
  <c r="G303" i="2"/>
  <c r="H303" i="2"/>
  <c r="G142" i="2"/>
  <c r="F89" i="2"/>
  <c r="F31" i="2"/>
  <c r="G574" i="2" s="1"/>
  <c r="G240" i="2"/>
  <c r="G82" i="2"/>
  <c r="AB19" i="3"/>
  <c r="AB21" i="3"/>
  <c r="AC22" i="3" l="1"/>
  <c r="AC19" i="3"/>
  <c r="AC21" i="3"/>
  <c r="Y23" i="3"/>
  <c r="AC34" i="3"/>
  <c r="AC38" i="3"/>
  <c r="AC35" i="3"/>
  <c r="AA34" i="3"/>
  <c r="AA38" i="3"/>
  <c r="Y38" i="3" s="1"/>
  <c r="AA35" i="3"/>
  <c r="G87" i="2"/>
  <c r="A82" i="2"/>
  <c r="G569" i="2"/>
  <c r="G583" i="2"/>
  <c r="G231" i="2"/>
  <c r="G29" i="2"/>
  <c r="A24" i="2"/>
  <c r="O588" i="2"/>
  <c r="Q574" i="2"/>
  <c r="N588" i="2"/>
  <c r="P574" i="2"/>
  <c r="M588" i="2"/>
  <c r="O574" i="2"/>
  <c r="N574" i="2"/>
  <c r="K574" i="2"/>
  <c r="K588" i="2"/>
  <c r="U574" i="2"/>
  <c r="S574" i="2"/>
  <c r="R574" i="2"/>
  <c r="T574" i="2"/>
  <c r="M574" i="2"/>
  <c r="U588" i="2"/>
  <c r="T588" i="2"/>
  <c r="S588" i="2"/>
  <c r="R588" i="2"/>
  <c r="Q588" i="2"/>
  <c r="P588" i="2"/>
  <c r="L588" i="2"/>
  <c r="L574" i="2"/>
  <c r="O240" i="2"/>
  <c r="U240" i="2"/>
  <c r="K240" i="2"/>
  <c r="S240" i="2"/>
  <c r="N240" i="2"/>
  <c r="P240" i="2"/>
  <c r="T240" i="2"/>
  <c r="R240" i="2"/>
  <c r="J240" i="2"/>
  <c r="M240" i="2"/>
  <c r="L240" i="2"/>
  <c r="J588" i="2"/>
  <c r="Q240" i="2"/>
  <c r="J574" i="2"/>
  <c r="V574" i="2"/>
  <c r="V588" i="2"/>
  <c r="I588" i="2"/>
  <c r="I574" i="2"/>
  <c r="H588" i="2"/>
  <c r="H574" i="2"/>
  <c r="H240" i="2"/>
  <c r="G588" i="2"/>
  <c r="F502" i="2"/>
  <c r="G506" i="2"/>
  <c r="D119" i="7" s="1"/>
  <c r="G147" i="2"/>
  <c r="A142" i="2"/>
  <c r="H573" i="2"/>
  <c r="H587" i="2"/>
  <c r="H236" i="2"/>
  <c r="H237" i="2" s="1"/>
  <c r="H37" i="2"/>
  <c r="H256" i="2"/>
  <c r="Y35" i="3" l="1"/>
  <c r="F506" i="2"/>
  <c r="C119" i="7" s="1"/>
  <c r="C115" i="7"/>
  <c r="AC36" i="3"/>
  <c r="M42" i="3"/>
  <c r="Q22" i="3"/>
  <c r="Y34" i="3"/>
  <c r="AA36" i="3"/>
  <c r="H38" i="2"/>
  <c r="G573" i="2"/>
  <c r="G587" i="2"/>
  <c r="G236" i="2"/>
  <c r="G237" i="2" s="1"/>
  <c r="A237" i="2" s="1"/>
  <c r="A29" i="2"/>
  <c r="G256" i="2"/>
  <c r="A147" i="2"/>
  <c r="A87" i="2"/>
  <c r="O23" i="3"/>
  <c r="O40" i="3" l="1"/>
  <c r="Y36" i="3"/>
  <c r="Y44" i="3" s="1"/>
  <c r="AD34" i="3" s="1"/>
  <c r="F150" i="2"/>
  <c r="F155" i="2" s="1"/>
  <c r="G155" i="2"/>
  <c r="G156" i="2" s="1"/>
  <c r="G169" i="2" s="1"/>
  <c r="H51" i="2"/>
  <c r="G95" i="2"/>
  <c r="G96" i="2" s="1"/>
  <c r="G109" i="2" s="1"/>
  <c r="F90" i="2"/>
  <c r="F95" i="2" s="1"/>
  <c r="G37" i="2"/>
  <c r="F32" i="2"/>
  <c r="F37" i="2" s="1"/>
  <c r="AD38" i="3" l="1"/>
  <c r="AD35" i="3"/>
  <c r="AD36" i="3" s="1"/>
  <c r="A37" i="2"/>
  <c r="Q575" i="2"/>
  <c r="P589" i="2"/>
  <c r="S589" i="2"/>
  <c r="P575" i="2"/>
  <c r="S575" i="2"/>
  <c r="M575" i="2"/>
  <c r="O589" i="2"/>
  <c r="Q589" i="2"/>
  <c r="M589" i="2"/>
  <c r="O575" i="2"/>
  <c r="T589" i="2"/>
  <c r="U589" i="2"/>
  <c r="N589" i="2"/>
  <c r="T575" i="2"/>
  <c r="U575" i="2"/>
  <c r="R589" i="2"/>
  <c r="R575" i="2"/>
  <c r="L589" i="2"/>
  <c r="N575" i="2"/>
  <c r="L575" i="2"/>
  <c r="K589" i="2"/>
  <c r="K575" i="2"/>
  <c r="J589" i="2"/>
  <c r="J575" i="2"/>
  <c r="V575" i="2"/>
  <c r="V589" i="2"/>
  <c r="I589" i="2"/>
  <c r="I575" i="2"/>
  <c r="F38" i="2"/>
  <c r="H575" i="2"/>
  <c r="H589" i="2"/>
  <c r="A95" i="2"/>
  <c r="F96" i="2"/>
  <c r="G589" i="2"/>
  <c r="G575" i="2"/>
  <c r="K241" i="2"/>
  <c r="U241" i="2"/>
  <c r="S241" i="2"/>
  <c r="R241" i="2"/>
  <c r="Q241" i="2"/>
  <c r="L241" i="2"/>
  <c r="T241" i="2"/>
  <c r="P241" i="2"/>
  <c r="N241" i="2"/>
  <c r="G241" i="2"/>
  <c r="O241" i="2"/>
  <c r="M241" i="2"/>
  <c r="J241" i="2"/>
  <c r="G38" i="2"/>
  <c r="H241" i="2"/>
  <c r="G111" i="2"/>
  <c r="G114" i="2"/>
  <c r="I111" i="2"/>
  <c r="I114" i="2"/>
  <c r="S114" i="2"/>
  <c r="M111" i="2"/>
  <c r="L111" i="2"/>
  <c r="V111" i="2"/>
  <c r="M114" i="2"/>
  <c r="R111" i="2"/>
  <c r="R114" i="2"/>
  <c r="Q114" i="2"/>
  <c r="U114" i="2"/>
  <c r="Q111" i="2"/>
  <c r="U111" i="2"/>
  <c r="K111" i="2"/>
  <c r="K114" i="2"/>
  <c r="N111" i="2"/>
  <c r="N114" i="2"/>
  <c r="P111" i="2"/>
  <c r="T111" i="2"/>
  <c r="J114" i="2"/>
  <c r="O114" i="2"/>
  <c r="P114" i="2"/>
  <c r="T114" i="2"/>
  <c r="J111" i="2"/>
  <c r="O111" i="2"/>
  <c r="S111" i="2"/>
  <c r="L114" i="2"/>
  <c r="V114" i="2"/>
  <c r="H114" i="2"/>
  <c r="H111" i="2"/>
  <c r="G171" i="2"/>
  <c r="I171" i="2"/>
  <c r="M171" i="2"/>
  <c r="Q171" i="2"/>
  <c r="R171" i="2"/>
  <c r="P171" i="2"/>
  <c r="J171" i="2"/>
  <c r="O171" i="2"/>
  <c r="V171" i="2"/>
  <c r="N171" i="2"/>
  <c r="L171" i="2"/>
  <c r="T171" i="2"/>
  <c r="U171" i="2"/>
  <c r="K171" i="2"/>
  <c r="S171" i="2"/>
  <c r="H171" i="2"/>
  <c r="F156" i="2"/>
  <c r="A155" i="2"/>
  <c r="AD44" i="3" l="1"/>
  <c r="A96" i="2"/>
  <c r="F109" i="2"/>
  <c r="A156" i="2"/>
  <c r="F169" i="2"/>
  <c r="G590" i="2"/>
  <c r="G594" i="2" s="1"/>
  <c r="G576" i="2"/>
  <c r="G580" i="2" s="1"/>
  <c r="G51" i="2"/>
  <c r="G242" i="2"/>
  <c r="G243" i="2" s="1"/>
  <c r="A38" i="2"/>
  <c r="P576" i="2"/>
  <c r="P580" i="2" s="1"/>
  <c r="P590" i="2"/>
  <c r="P594" i="2" s="1"/>
  <c r="S576" i="2"/>
  <c r="S580" i="2" s="1"/>
  <c r="S590" i="2"/>
  <c r="S594" i="2" s="1"/>
  <c r="Q576" i="2"/>
  <c r="Q580" i="2" s="1"/>
  <c r="T590" i="2"/>
  <c r="T594" i="2" s="1"/>
  <c r="Q590" i="2"/>
  <c r="Q594" i="2" s="1"/>
  <c r="T576" i="2"/>
  <c r="T580" i="2" s="1"/>
  <c r="R590" i="2"/>
  <c r="R594" i="2" s="1"/>
  <c r="R576" i="2"/>
  <c r="R580" i="2" s="1"/>
  <c r="N576" i="2"/>
  <c r="N580" i="2" s="1"/>
  <c r="U590" i="2"/>
  <c r="U594" i="2" s="1"/>
  <c r="N590" i="2"/>
  <c r="N594" i="2" s="1"/>
  <c r="U576" i="2"/>
  <c r="U580" i="2" s="1"/>
  <c r="O576" i="2"/>
  <c r="O580" i="2" s="1"/>
  <c r="O590" i="2"/>
  <c r="O594" i="2" s="1"/>
  <c r="M576" i="2"/>
  <c r="M580" i="2" s="1"/>
  <c r="M590" i="2"/>
  <c r="M594" i="2" s="1"/>
  <c r="T242" i="2"/>
  <c r="T243" i="2" s="1"/>
  <c r="T250" i="2" s="1"/>
  <c r="R242" i="2"/>
  <c r="R243" i="2" s="1"/>
  <c r="R250" i="2" s="1"/>
  <c r="Q242" i="2"/>
  <c r="Q243" i="2" s="1"/>
  <c r="Q250" i="2" s="1"/>
  <c r="M242" i="2"/>
  <c r="M243" i="2" s="1"/>
  <c r="M250" i="2" s="1"/>
  <c r="L590" i="2"/>
  <c r="L594" i="2" s="1"/>
  <c r="S242" i="2"/>
  <c r="S243" i="2" s="1"/>
  <c r="S250" i="2" s="1"/>
  <c r="L576" i="2"/>
  <c r="L580" i="2" s="1"/>
  <c r="P242" i="2"/>
  <c r="P243" i="2" s="1"/>
  <c r="P250" i="2" s="1"/>
  <c r="O242" i="2"/>
  <c r="O243" i="2" s="1"/>
  <c r="O250" i="2" s="1"/>
  <c r="U242" i="2"/>
  <c r="U243" i="2" s="1"/>
  <c r="U250" i="2" s="1"/>
  <c r="N242" i="2"/>
  <c r="N243" i="2" s="1"/>
  <c r="N250" i="2" s="1"/>
  <c r="L242" i="2"/>
  <c r="L243" i="2" s="1"/>
  <c r="L250" i="2" s="1"/>
  <c r="K576" i="2"/>
  <c r="K580" i="2" s="1"/>
  <c r="K590" i="2"/>
  <c r="K594" i="2" s="1"/>
  <c r="V576" i="2"/>
  <c r="V580" i="2" s="1"/>
  <c r="J590" i="2"/>
  <c r="J594" i="2" s="1"/>
  <c r="V590" i="2"/>
  <c r="V594" i="2" s="1"/>
  <c r="J576" i="2"/>
  <c r="J580" i="2" s="1"/>
  <c r="I590" i="2"/>
  <c r="I594" i="2" s="1"/>
  <c r="I576" i="2"/>
  <c r="I580" i="2" s="1"/>
  <c r="F51" i="2"/>
  <c r="J242" i="2"/>
  <c r="J243" i="2" s="1"/>
  <c r="J250" i="2" s="1"/>
  <c r="I243" i="2"/>
  <c r="I250" i="2" s="1"/>
  <c r="K242" i="2"/>
  <c r="K243" i="2" s="1"/>
  <c r="K250" i="2" s="1"/>
  <c r="H590" i="2"/>
  <c r="H594" i="2" s="1"/>
  <c r="H576" i="2"/>
  <c r="H580" i="2" s="1"/>
  <c r="H242" i="2"/>
  <c r="H243" i="2" s="1"/>
  <c r="H250" i="2" s="1"/>
  <c r="J564" i="2" l="1"/>
  <c r="J563" i="2"/>
  <c r="J566" i="2"/>
  <c r="J268" i="2" s="1"/>
  <c r="J565" i="2"/>
  <c r="J267" i="2" s="1"/>
  <c r="A580" i="2"/>
  <c r="A594" i="2"/>
  <c r="R566" i="2"/>
  <c r="R268" i="2" s="1"/>
  <c r="R565" i="2"/>
  <c r="R267" i="2" s="1"/>
  <c r="R564" i="2"/>
  <c r="R563" i="2"/>
  <c r="H565" i="2"/>
  <c r="H267" i="2" s="1"/>
  <c r="H566" i="2"/>
  <c r="H268" i="2" s="1"/>
  <c r="H564" i="2"/>
  <c r="H563" i="2"/>
  <c r="L566" i="2"/>
  <c r="L268" i="2" s="1"/>
  <c r="L563" i="2"/>
  <c r="L565" i="2"/>
  <c r="L267" i="2" s="1"/>
  <c r="L564" i="2"/>
  <c r="I565" i="2"/>
  <c r="I564" i="2"/>
  <c r="I563" i="2"/>
  <c r="I566" i="2"/>
  <c r="T563" i="2"/>
  <c r="T566" i="2"/>
  <c r="T268" i="2" s="1"/>
  <c r="T564" i="2"/>
  <c r="T565" i="2"/>
  <c r="T267" i="2" s="1"/>
  <c r="N565" i="2"/>
  <c r="N267" i="2" s="1"/>
  <c r="N566" i="2"/>
  <c r="N268" i="2" s="1"/>
  <c r="N564" i="2"/>
  <c r="N563" i="2"/>
  <c r="O566" i="2"/>
  <c r="O268" i="2" s="1"/>
  <c r="O564" i="2"/>
  <c r="O563" i="2"/>
  <c r="O565" i="2"/>
  <c r="O267" i="2" s="1"/>
  <c r="K564" i="2"/>
  <c r="K563" i="2"/>
  <c r="K565" i="2"/>
  <c r="K267" i="2" s="1"/>
  <c r="K566" i="2"/>
  <c r="K268" i="2" s="1"/>
  <c r="U566" i="2"/>
  <c r="U563" i="2"/>
  <c r="U565" i="2"/>
  <c r="U267" i="2" s="1"/>
  <c r="U564" i="2"/>
  <c r="U268" i="2" s="1"/>
  <c r="M564" i="2"/>
  <c r="M563" i="2"/>
  <c r="M566" i="2"/>
  <c r="M268" i="2" s="1"/>
  <c r="M565" i="2"/>
  <c r="M267" i="2" s="1"/>
  <c r="A243" i="2"/>
  <c r="G250" i="2"/>
  <c r="S564" i="2"/>
  <c r="S563" i="2"/>
  <c r="S565" i="2"/>
  <c r="S267" i="2" s="1"/>
  <c r="S566" i="2"/>
  <c r="S268" i="2" s="1"/>
  <c r="P564" i="2"/>
  <c r="P565" i="2"/>
  <c r="P267" i="2" s="1"/>
  <c r="P563" i="2"/>
  <c r="P566" i="2"/>
  <c r="P268" i="2" s="1"/>
  <c r="G304" i="2"/>
  <c r="G53" i="2"/>
  <c r="G56" i="2"/>
  <c r="I304" i="2"/>
  <c r="I53" i="2"/>
  <c r="I56" i="2"/>
  <c r="Q304" i="2"/>
  <c r="L56" i="2"/>
  <c r="P304" i="2"/>
  <c r="Q56" i="2"/>
  <c r="L53" i="2"/>
  <c r="V304" i="2"/>
  <c r="O554" i="2" s="1"/>
  <c r="Q53" i="2"/>
  <c r="P53" i="2"/>
  <c r="M304" i="2"/>
  <c r="N304" i="2"/>
  <c r="J304" i="2"/>
  <c r="P56" i="2"/>
  <c r="V56" i="2"/>
  <c r="S304" i="2"/>
  <c r="J53" i="2"/>
  <c r="V53" i="2"/>
  <c r="M53" i="2"/>
  <c r="N53" i="2"/>
  <c r="J56" i="2"/>
  <c r="M56" i="2"/>
  <c r="N56" i="2"/>
  <c r="S56" i="2"/>
  <c r="R304" i="2"/>
  <c r="S53" i="2"/>
  <c r="T304" i="2"/>
  <c r="U304" i="2"/>
  <c r="K304" i="2"/>
  <c r="R56" i="2"/>
  <c r="T56" i="2"/>
  <c r="U56" i="2"/>
  <c r="R53" i="2"/>
  <c r="O304" i="2"/>
  <c r="T53" i="2"/>
  <c r="U53" i="2"/>
  <c r="K56" i="2"/>
  <c r="K53" i="2"/>
  <c r="O53" i="2"/>
  <c r="O56" i="2"/>
  <c r="L304" i="2"/>
  <c r="H304" i="2"/>
  <c r="H53" i="2"/>
  <c r="H56" i="2"/>
  <c r="Q565" i="2"/>
  <c r="Q267" i="2" s="1"/>
  <c r="Q564" i="2"/>
  <c r="Q563" i="2"/>
  <c r="Q566" i="2"/>
  <c r="Q268" i="2" s="1"/>
  <c r="A169" i="2"/>
  <c r="A109" i="2"/>
  <c r="T262" i="2"/>
  <c r="R260" i="2"/>
  <c r="M262" i="2"/>
  <c r="H260" i="2"/>
  <c r="S262" i="2"/>
  <c r="L260" i="2"/>
  <c r="O262" i="2"/>
  <c r="V260" i="2"/>
  <c r="V269" i="2" s="1"/>
  <c r="L262" i="2"/>
  <c r="T260" i="2"/>
  <c r="M260" i="2"/>
  <c r="K260" i="2"/>
  <c r="P260" i="2"/>
  <c r="U262" i="2"/>
  <c r="O260" i="2"/>
  <c r="R262" i="2"/>
  <c r="N260" i="2"/>
  <c r="Q262" i="2"/>
  <c r="J260" i="2"/>
  <c r="P262" i="2"/>
  <c r="I260" i="2"/>
  <c r="N262" i="2"/>
  <c r="G260" i="2"/>
  <c r="K262" i="2"/>
  <c r="J262" i="2"/>
  <c r="G262" i="2"/>
  <c r="U260" i="2"/>
  <c r="H262" i="2"/>
  <c r="S260" i="2"/>
  <c r="A51" i="2"/>
  <c r="Q260" i="2"/>
  <c r="O551" i="2" l="1"/>
  <c r="O545" i="2"/>
  <c r="O550" i="2"/>
  <c r="O547" i="2"/>
  <c r="O548" i="2"/>
  <c r="O549" i="2"/>
  <c r="O552" i="2"/>
  <c r="I554" i="2"/>
  <c r="V270" i="2"/>
  <c r="V286" i="2" s="1"/>
  <c r="H170" i="2"/>
  <c r="H110" i="2"/>
  <c r="H52" i="2"/>
  <c r="Q170" i="2"/>
  <c r="Q110" i="2"/>
  <c r="Q52" i="2"/>
  <c r="P170" i="2"/>
  <c r="P110" i="2"/>
  <c r="P52" i="2"/>
  <c r="U170" i="2"/>
  <c r="U52" i="2"/>
  <c r="U110" i="2"/>
  <c r="R110" i="2"/>
  <c r="R52" i="2"/>
  <c r="R170" i="2"/>
  <c r="T52" i="2"/>
  <c r="T110" i="2"/>
  <c r="T170" i="2"/>
  <c r="K110" i="2"/>
  <c r="K170" i="2"/>
  <c r="K52" i="2"/>
  <c r="S52" i="2"/>
  <c r="S170" i="2"/>
  <c r="S110" i="2"/>
  <c r="I170" i="2"/>
  <c r="I110" i="2"/>
  <c r="I52" i="2"/>
  <c r="G563" i="2"/>
  <c r="G565" i="2"/>
  <c r="G564" i="2"/>
  <c r="A250" i="2"/>
  <c r="G566" i="2"/>
  <c r="O110" i="2"/>
  <c r="O170" i="2"/>
  <c r="O52" i="2"/>
  <c r="M52" i="2"/>
  <c r="M110" i="2"/>
  <c r="M170" i="2"/>
  <c r="N110" i="2"/>
  <c r="N52" i="2"/>
  <c r="N170" i="2"/>
  <c r="L170" i="2"/>
  <c r="L110" i="2"/>
  <c r="L52" i="2"/>
  <c r="J110" i="2"/>
  <c r="J170" i="2"/>
  <c r="J52" i="2"/>
  <c r="F566" i="2" l="1"/>
  <c r="G268" i="2"/>
  <c r="U115" i="2"/>
  <c r="U116" i="2" s="1"/>
  <c r="G115" i="2"/>
  <c r="S115" i="2"/>
  <c r="S116" i="2" s="1"/>
  <c r="O115" i="2"/>
  <c r="O116" i="2" s="1"/>
  <c r="N115" i="2"/>
  <c r="N116" i="2" s="1"/>
  <c r="V115" i="2"/>
  <c r="V116" i="2" s="1"/>
  <c r="Q115" i="2"/>
  <c r="Q116" i="2" s="1"/>
  <c r="P115" i="2"/>
  <c r="P116" i="2" s="1"/>
  <c r="M115" i="2"/>
  <c r="M116" i="2" s="1"/>
  <c r="L115" i="2"/>
  <c r="L116" i="2" s="1"/>
  <c r="K115" i="2"/>
  <c r="K116" i="2" s="1"/>
  <c r="J115" i="2"/>
  <c r="J116" i="2" s="1"/>
  <c r="H115" i="2"/>
  <c r="H116" i="2" s="1"/>
  <c r="T115" i="2"/>
  <c r="R115" i="2"/>
  <c r="R116" i="2" s="1"/>
  <c r="I115" i="2"/>
  <c r="I116" i="2" s="1"/>
  <c r="F116" i="2"/>
  <c r="T116" i="2"/>
  <c r="F564" i="2"/>
  <c r="A564" i="2"/>
  <c r="F565" i="2"/>
  <c r="G267" i="2"/>
  <c r="F563" i="2"/>
  <c r="A563" i="2" s="1"/>
  <c r="G170" i="2"/>
  <c r="G52" i="2"/>
  <c r="G110" i="2"/>
  <c r="M175" i="2"/>
  <c r="Q175" i="2"/>
  <c r="O175" i="2"/>
  <c r="H175" i="2"/>
  <c r="V175" i="2"/>
  <c r="G175" i="2"/>
  <c r="S175" i="2"/>
  <c r="R175" i="2"/>
  <c r="L175" i="2"/>
  <c r="K175" i="2"/>
  <c r="J175" i="2"/>
  <c r="I175" i="2"/>
  <c r="U175" i="2"/>
  <c r="T175" i="2"/>
  <c r="P175" i="2"/>
  <c r="N175" i="2"/>
  <c r="O553" i="2"/>
  <c r="G116" i="2" l="1"/>
  <c r="V316" i="2" s="1"/>
  <c r="Q554" i="2" s="1"/>
  <c r="M325" i="2"/>
  <c r="M195" i="2"/>
  <c r="Q195" i="2"/>
  <c r="Q325" i="2"/>
  <c r="P325" i="2"/>
  <c r="P195" i="2"/>
  <c r="N325" i="2"/>
  <c r="N195" i="2"/>
  <c r="I195" i="2"/>
  <c r="I325" i="2"/>
  <c r="J195" i="2"/>
  <c r="J325" i="2"/>
  <c r="U325" i="2"/>
  <c r="U195" i="2"/>
  <c r="R325" i="2"/>
  <c r="R195" i="2"/>
  <c r="N316" i="2"/>
  <c r="U316" i="2"/>
  <c r="K316" i="2"/>
  <c r="S316" i="2"/>
  <c r="Q316" i="2"/>
  <c r="G325" i="2"/>
  <c r="I316" i="2"/>
  <c r="AF316" i="2"/>
  <c r="H316" i="2"/>
  <c r="J316" i="2"/>
  <c r="G316" i="2"/>
  <c r="AE316" i="2"/>
  <c r="P316" i="2"/>
  <c r="O316" i="2"/>
  <c r="R316" i="2"/>
  <c r="M316" i="2"/>
  <c r="L316" i="2"/>
  <c r="G195" i="2"/>
  <c r="L195" i="2"/>
  <c r="L325" i="2"/>
  <c r="Q57" i="2"/>
  <c r="Q58" i="2" s="1"/>
  <c r="J57" i="2"/>
  <c r="J58" i="2" s="1"/>
  <c r="U57" i="2"/>
  <c r="U58" i="2" s="1"/>
  <c r="T57" i="2"/>
  <c r="T58" i="2" s="1"/>
  <c r="S57" i="2"/>
  <c r="S58" i="2" s="1"/>
  <c r="K57" i="2"/>
  <c r="K58" i="2" s="1"/>
  <c r="I57" i="2"/>
  <c r="I58" i="2" s="1"/>
  <c r="H57" i="2"/>
  <c r="H58" i="2" s="1"/>
  <c r="G57" i="2"/>
  <c r="G58" i="2" s="1"/>
  <c r="P57" i="2"/>
  <c r="P58" i="2" s="1"/>
  <c r="V57" i="2"/>
  <c r="V58" i="2" s="1"/>
  <c r="R57" i="2"/>
  <c r="R58" i="2" s="1"/>
  <c r="O57" i="2"/>
  <c r="O58" i="2" s="1"/>
  <c r="N57" i="2"/>
  <c r="N58" i="2" s="1"/>
  <c r="M57" i="2"/>
  <c r="M58" i="2" s="1"/>
  <c r="L57" i="2"/>
  <c r="L58" i="2" s="1"/>
  <c r="F58" i="2"/>
  <c r="O325" i="2"/>
  <c r="O195" i="2"/>
  <c r="V325" i="2"/>
  <c r="V195" i="2"/>
  <c r="S325" i="2"/>
  <c r="S195" i="2"/>
  <c r="T325" i="2"/>
  <c r="T195" i="2"/>
  <c r="A116" i="2"/>
  <c r="H325" i="2"/>
  <c r="H195" i="2"/>
  <c r="K195" i="2"/>
  <c r="K325" i="2"/>
  <c r="T316" i="2" l="1"/>
  <c r="A58" i="2"/>
  <c r="M207" i="2"/>
  <c r="O207" i="2"/>
  <c r="S207" i="2"/>
  <c r="Q207" i="2"/>
  <c r="I207" i="2"/>
  <c r="H207" i="2"/>
  <c r="L207" i="2"/>
  <c r="K207" i="2"/>
  <c r="F195" i="2"/>
  <c r="V207" i="2"/>
  <c r="R207" i="2"/>
  <c r="U207" i="2"/>
  <c r="T207" i="2"/>
  <c r="P207" i="2"/>
  <c r="N207" i="2"/>
  <c r="J207" i="2"/>
  <c r="G207" i="2"/>
  <c r="F325" i="2"/>
  <c r="F239" i="2"/>
  <c r="T258" i="2"/>
  <c r="S258" i="2"/>
  <c r="J258" i="2"/>
  <c r="M258" i="2"/>
  <c r="H258" i="2"/>
  <c r="L258" i="2"/>
  <c r="N258" i="2"/>
  <c r="Q258" i="2"/>
  <c r="K258" i="2"/>
  <c r="O258" i="2"/>
  <c r="G258" i="2"/>
  <c r="U258" i="2"/>
  <c r="P258" i="2"/>
  <c r="R258" i="2"/>
  <c r="Q551" i="2"/>
  <c r="Q545" i="2"/>
  <c r="Q550" i="2"/>
  <c r="Q549" i="2"/>
  <c r="Q548" i="2"/>
  <c r="Q552" i="2"/>
  <c r="Q547" i="2"/>
  <c r="Q553" i="2" l="1"/>
  <c r="S203" i="2" l="1"/>
  <c r="L203" i="2"/>
  <c r="Q203" i="2"/>
  <c r="K203" i="2"/>
  <c r="R203" i="2"/>
  <c r="O203" i="2"/>
  <c r="I203" i="2"/>
  <c r="H203" i="2"/>
  <c r="N203" i="2"/>
  <c r="M203" i="2"/>
  <c r="J203" i="2"/>
  <c r="G203" i="2"/>
  <c r="U203" i="2"/>
  <c r="V203" i="2"/>
  <c r="T203" i="2"/>
  <c r="P203" i="2"/>
  <c r="I206" i="2"/>
  <c r="P206" i="2"/>
  <c r="G206" i="2"/>
  <c r="V206" i="2"/>
  <c r="O206" i="2"/>
  <c r="T206" i="2"/>
  <c r="H206" i="2"/>
  <c r="M206" i="2"/>
  <c r="J206" i="2"/>
  <c r="U206" i="2"/>
  <c r="L206" i="2"/>
  <c r="Q206" i="2"/>
  <c r="R206" i="2"/>
  <c r="K206" i="2"/>
  <c r="S206" i="2"/>
  <c r="N206" i="2"/>
  <c r="A203" i="2" l="1"/>
  <c r="A206" i="2"/>
  <c r="L261" i="2"/>
  <c r="R261" i="2"/>
  <c r="G261" i="2"/>
  <c r="S261" i="2"/>
  <c r="P261" i="2"/>
  <c r="H261" i="2"/>
  <c r="T261" i="2"/>
  <c r="Q261" i="2"/>
  <c r="O261" i="2"/>
  <c r="N261" i="2"/>
  <c r="M261" i="2"/>
  <c r="K261" i="2"/>
  <c r="J261" i="2"/>
  <c r="U261" i="2"/>
  <c r="J197" i="2" l="1"/>
  <c r="J208" i="2" s="1"/>
  <c r="O197" i="2"/>
  <c r="O208" i="2" s="1"/>
  <c r="L197" i="2"/>
  <c r="L208" i="2" s="1"/>
  <c r="G197" i="2"/>
  <c r="G208" i="2" s="1"/>
  <c r="S197" i="2"/>
  <c r="S208" i="2" s="1"/>
  <c r="H197" i="2"/>
  <c r="H208" i="2" s="1"/>
  <c r="Q197" i="2"/>
  <c r="Q208" i="2" s="1"/>
  <c r="V197" i="2"/>
  <c r="V208" i="2" s="1"/>
  <c r="R197" i="2"/>
  <c r="R208" i="2" s="1"/>
  <c r="U197" i="2"/>
  <c r="U208" i="2" s="1"/>
  <c r="K197" i="2"/>
  <c r="K208" i="2" s="1"/>
  <c r="P197" i="2"/>
  <c r="P208" i="2" s="1"/>
  <c r="T197" i="2"/>
  <c r="T208" i="2" s="1"/>
  <c r="N197" i="2"/>
  <c r="N208" i="2" s="1"/>
  <c r="I197" i="2"/>
  <c r="I208" i="2" s="1"/>
  <c r="M197" i="2"/>
  <c r="M208" i="2" s="1"/>
  <c r="R174" i="2"/>
  <c r="R176" i="2" s="1"/>
  <c r="R299" i="2" s="1"/>
  <c r="U174" i="2"/>
  <c r="U176" i="2" s="1"/>
  <c r="U299" i="2" s="1"/>
  <c r="S174" i="2"/>
  <c r="S176" i="2" s="1"/>
  <c r="S299" i="2" s="1"/>
  <c r="L174" i="2"/>
  <c r="L176" i="2" s="1"/>
  <c r="L299" i="2" s="1"/>
  <c r="K174" i="2"/>
  <c r="K176" i="2" s="1"/>
  <c r="K299" i="2" s="1"/>
  <c r="P174" i="2"/>
  <c r="P176" i="2" s="1"/>
  <c r="P299" i="2" s="1"/>
  <c r="O174" i="2"/>
  <c r="O176" i="2" s="1"/>
  <c r="O299" i="2" s="1"/>
  <c r="J174" i="2"/>
  <c r="J176" i="2" s="1"/>
  <c r="J299" i="2" s="1"/>
  <c r="I174" i="2"/>
  <c r="I176" i="2" s="1"/>
  <c r="I299" i="2" s="1"/>
  <c r="H174" i="2"/>
  <c r="H176" i="2" s="1"/>
  <c r="H299" i="2" s="1"/>
  <c r="G174" i="2"/>
  <c r="G176" i="2" s="1"/>
  <c r="G299" i="2" s="1"/>
  <c r="V174" i="2"/>
  <c r="V176" i="2" s="1"/>
  <c r="T174" i="2"/>
  <c r="T176" i="2" s="1"/>
  <c r="T299" i="2" s="1"/>
  <c r="Q174" i="2"/>
  <c r="Q176" i="2" s="1"/>
  <c r="Q299" i="2" s="1"/>
  <c r="N174" i="2"/>
  <c r="N176" i="2" s="1"/>
  <c r="N299" i="2" s="1"/>
  <c r="M174" i="2"/>
  <c r="M176" i="2" s="1"/>
  <c r="M299" i="2" s="1"/>
  <c r="F176" i="2"/>
  <c r="A176" i="2" l="1"/>
  <c r="U212" i="2"/>
  <c r="U320" i="2" s="1"/>
  <c r="R212" i="2"/>
  <c r="R320" i="2" s="1"/>
  <c r="V210" i="2"/>
  <c r="F210" i="2" s="1"/>
  <c r="Q212" i="2"/>
  <c r="Q320" i="2" s="1"/>
  <c r="H212" i="2"/>
  <c r="H320" i="2" s="1"/>
  <c r="N554" i="2"/>
  <c r="V299" i="2"/>
  <c r="F299" i="2" s="1"/>
  <c r="S212" i="2"/>
  <c r="S320" i="2" s="1"/>
  <c r="G212" i="2"/>
  <c r="F208" i="2"/>
  <c r="L212" i="2"/>
  <c r="L320" i="2" s="1"/>
  <c r="Q263" i="2"/>
  <c r="Q269" i="2" s="1"/>
  <c r="Q270" i="2" s="1"/>
  <c r="Q286" i="2" s="1"/>
  <c r="J263" i="2"/>
  <c r="J269" i="2" s="1"/>
  <c r="J270" i="2" s="1"/>
  <c r="J286" i="2" s="1"/>
  <c r="O263" i="2"/>
  <c r="O269" i="2" s="1"/>
  <c r="O270" i="2" s="1"/>
  <c r="O286" i="2" s="1"/>
  <c r="T263" i="2"/>
  <c r="T269" i="2" s="1"/>
  <c r="T270" i="2" s="1"/>
  <c r="T286" i="2" s="1"/>
  <c r="G263" i="2"/>
  <c r="G269" i="2" s="1"/>
  <c r="G270" i="2" s="1"/>
  <c r="M263" i="2"/>
  <c r="M269" i="2" s="1"/>
  <c r="M270" i="2" s="1"/>
  <c r="M286" i="2" s="1"/>
  <c r="N263" i="2"/>
  <c r="N269" i="2" s="1"/>
  <c r="N270" i="2" s="1"/>
  <c r="N286" i="2" s="1"/>
  <c r="K263" i="2"/>
  <c r="K269" i="2" s="1"/>
  <c r="K270" i="2" s="1"/>
  <c r="K286" i="2" s="1"/>
  <c r="S263" i="2"/>
  <c r="S269" i="2" s="1"/>
  <c r="S270" i="2" s="1"/>
  <c r="S286" i="2" s="1"/>
  <c r="H263" i="2"/>
  <c r="H269" i="2" s="1"/>
  <c r="H270" i="2" s="1"/>
  <c r="H286" i="2" s="1"/>
  <c r="U263" i="2"/>
  <c r="U269" i="2" s="1"/>
  <c r="U270" i="2" s="1"/>
  <c r="U286" i="2" s="1"/>
  <c r="P263" i="2"/>
  <c r="P269" i="2" s="1"/>
  <c r="P270" i="2" s="1"/>
  <c r="P286" i="2" s="1"/>
  <c r="R263" i="2"/>
  <c r="R269" i="2" s="1"/>
  <c r="R270" i="2" s="1"/>
  <c r="R286" i="2" s="1"/>
  <c r="L263" i="2"/>
  <c r="L269" i="2" s="1"/>
  <c r="L270" i="2" s="1"/>
  <c r="L286" i="2" s="1"/>
  <c r="I269" i="2"/>
  <c r="I270" i="2" s="1"/>
  <c r="I286" i="2" s="1"/>
  <c r="F269" i="2"/>
  <c r="M212" i="2"/>
  <c r="M320" i="2" s="1"/>
  <c r="O212" i="2"/>
  <c r="O320" i="2" s="1"/>
  <c r="I212" i="2"/>
  <c r="I320" i="2" s="1"/>
  <c r="J212" i="2"/>
  <c r="J320" i="2" s="1"/>
  <c r="N212" i="2"/>
  <c r="N320" i="2" s="1"/>
  <c r="A197" i="2"/>
  <c r="T212" i="2"/>
  <c r="T320" i="2" s="1"/>
  <c r="P212" i="2"/>
  <c r="P320" i="2" s="1"/>
  <c r="K212" i="2"/>
  <c r="K320" i="2" s="1"/>
  <c r="V212" i="2" l="1"/>
  <c r="V320" i="2" s="1"/>
  <c r="V440" i="2" s="1"/>
  <c r="G319" i="2"/>
  <c r="F214" i="2"/>
  <c r="Q319" i="2"/>
  <c r="Q218" i="2"/>
  <c r="A208" i="2"/>
  <c r="Q441" i="2"/>
  <c r="N54" i="7" s="1"/>
  <c r="Q439" i="2"/>
  <c r="N52" i="7" s="1"/>
  <c r="Q437" i="2"/>
  <c r="N50" i="7" s="1"/>
  <c r="Q435" i="2"/>
  <c r="N48" i="7" s="1"/>
  <c r="Q432" i="2"/>
  <c r="N45" i="7" s="1"/>
  <c r="Q430" i="2"/>
  <c r="N43" i="7" s="1"/>
  <c r="Q431" i="2"/>
  <c r="N44" i="7" s="1"/>
  <c r="Q436" i="2"/>
  <c r="N49" i="7" s="1"/>
  <c r="Q440" i="2"/>
  <c r="N53" i="7" s="1"/>
  <c r="Q438" i="2"/>
  <c r="N51" i="7" s="1"/>
  <c r="Q434" i="2"/>
  <c r="N47" i="7" s="1"/>
  <c r="P319" i="2"/>
  <c r="P218" i="2"/>
  <c r="P441" i="2"/>
  <c r="M54" i="7" s="1"/>
  <c r="P439" i="2"/>
  <c r="M52" i="7" s="1"/>
  <c r="P437" i="2"/>
  <c r="M50" i="7" s="1"/>
  <c r="P435" i="2"/>
  <c r="M48" i="7" s="1"/>
  <c r="P432" i="2"/>
  <c r="M45" i="7" s="1"/>
  <c r="P430" i="2"/>
  <c r="M43" i="7" s="1"/>
  <c r="P440" i="2"/>
  <c r="M53" i="7" s="1"/>
  <c r="P438" i="2"/>
  <c r="M51" i="7" s="1"/>
  <c r="P436" i="2"/>
  <c r="M49" i="7" s="1"/>
  <c r="P434" i="2"/>
  <c r="M47" i="7" s="1"/>
  <c r="P431" i="2"/>
  <c r="M44" i="7" s="1"/>
  <c r="O218" i="2"/>
  <c r="O319" i="2"/>
  <c r="G218" i="2"/>
  <c r="N319" i="2"/>
  <c r="N218" i="2"/>
  <c r="O441" i="2"/>
  <c r="L54" i="7" s="1"/>
  <c r="O439" i="2"/>
  <c r="L52" i="7" s="1"/>
  <c r="O437" i="2"/>
  <c r="L50" i="7" s="1"/>
  <c r="O435" i="2"/>
  <c r="L48" i="7" s="1"/>
  <c r="O440" i="2"/>
  <c r="L53" i="7" s="1"/>
  <c r="O438" i="2"/>
  <c r="L51" i="7" s="1"/>
  <c r="O436" i="2"/>
  <c r="L49" i="7" s="1"/>
  <c r="O434" i="2"/>
  <c r="L47" i="7" s="1"/>
  <c r="O431" i="2"/>
  <c r="L44" i="7" s="1"/>
  <c r="O432" i="2"/>
  <c r="L45" i="7" s="1"/>
  <c r="O430" i="2"/>
  <c r="L43" i="7" s="1"/>
  <c r="V218" i="2"/>
  <c r="V319" i="2"/>
  <c r="S554" i="2" s="1"/>
  <c r="T218" i="2"/>
  <c r="T319" i="2"/>
  <c r="N432" i="2"/>
  <c r="K45" i="7" s="1"/>
  <c r="N430" i="2"/>
  <c r="K43" i="7" s="1"/>
  <c r="N440" i="2"/>
  <c r="K53" i="7" s="1"/>
  <c r="N438" i="2"/>
  <c r="K51" i="7" s="1"/>
  <c r="N436" i="2"/>
  <c r="K49" i="7" s="1"/>
  <c r="N434" i="2"/>
  <c r="K47" i="7" s="1"/>
  <c r="N439" i="2"/>
  <c r="K52" i="7" s="1"/>
  <c r="N431" i="2"/>
  <c r="K44" i="7" s="1"/>
  <c r="N437" i="2"/>
  <c r="K50" i="7" s="1"/>
  <c r="N435" i="2"/>
  <c r="K48" i="7" s="1"/>
  <c r="N441" i="2"/>
  <c r="K54" i="7" s="1"/>
  <c r="M319" i="2"/>
  <c r="M218" i="2"/>
  <c r="S319" i="2"/>
  <c r="S218" i="2"/>
  <c r="T554" i="2"/>
  <c r="V435" i="2"/>
  <c r="V439" i="2"/>
  <c r="M431" i="2"/>
  <c r="J44" i="7" s="1"/>
  <c r="M441" i="2"/>
  <c r="J54" i="7" s="1"/>
  <c r="M439" i="2"/>
  <c r="J52" i="7" s="1"/>
  <c r="M437" i="2"/>
  <c r="J50" i="7" s="1"/>
  <c r="M435" i="2"/>
  <c r="J48" i="7" s="1"/>
  <c r="M432" i="2"/>
  <c r="J45" i="7" s="1"/>
  <c r="M430" i="2"/>
  <c r="J43" i="7" s="1"/>
  <c r="M436" i="2"/>
  <c r="J49" i="7" s="1"/>
  <c r="M440" i="2"/>
  <c r="J53" i="7" s="1"/>
  <c r="M434" i="2"/>
  <c r="J47" i="7" s="1"/>
  <c r="M438" i="2"/>
  <c r="J51" i="7" s="1"/>
  <c r="G286" i="2"/>
  <c r="F286" i="2" s="1"/>
  <c r="S441" i="2"/>
  <c r="P54" i="7" s="1"/>
  <c r="S439" i="2"/>
  <c r="P52" i="7" s="1"/>
  <c r="S437" i="2"/>
  <c r="P50" i="7" s="1"/>
  <c r="S435" i="2"/>
  <c r="P48" i="7" s="1"/>
  <c r="S432" i="2"/>
  <c r="P45" i="7" s="1"/>
  <c r="S430" i="2"/>
  <c r="P43" i="7" s="1"/>
  <c r="S431" i="2"/>
  <c r="P44" i="7" s="1"/>
  <c r="S436" i="2"/>
  <c r="P49" i="7" s="1"/>
  <c r="S440" i="2"/>
  <c r="P53" i="7" s="1"/>
  <c r="S434" i="2"/>
  <c r="P47" i="7" s="1"/>
  <c r="S438" i="2"/>
  <c r="P51" i="7" s="1"/>
  <c r="N552" i="2"/>
  <c r="N551" i="2"/>
  <c r="N545" i="2"/>
  <c r="N550" i="2"/>
  <c r="N547" i="2"/>
  <c r="N548" i="2"/>
  <c r="N549" i="2"/>
  <c r="R218" i="2"/>
  <c r="R319" i="2"/>
  <c r="J218" i="2"/>
  <c r="J319" i="2"/>
  <c r="A269" i="2"/>
  <c r="F270" i="2"/>
  <c r="A270" i="2" s="1"/>
  <c r="H218" i="2"/>
  <c r="H319" i="2"/>
  <c r="R441" i="2"/>
  <c r="O54" i="7" s="1"/>
  <c r="R439" i="2"/>
  <c r="O52" i="7" s="1"/>
  <c r="R437" i="2"/>
  <c r="O50" i="7" s="1"/>
  <c r="R435" i="2"/>
  <c r="O48" i="7" s="1"/>
  <c r="R432" i="2"/>
  <c r="O45" i="7" s="1"/>
  <c r="R430" i="2"/>
  <c r="O43" i="7" s="1"/>
  <c r="R440" i="2"/>
  <c r="O53" i="7" s="1"/>
  <c r="R438" i="2"/>
  <c r="O51" i="7" s="1"/>
  <c r="R436" i="2"/>
  <c r="O49" i="7" s="1"/>
  <c r="R434" i="2"/>
  <c r="O47" i="7" s="1"/>
  <c r="R431" i="2"/>
  <c r="O44" i="7" s="1"/>
  <c r="J440" i="2"/>
  <c r="G53" i="7" s="1"/>
  <c r="J438" i="2"/>
  <c r="G51" i="7" s="1"/>
  <c r="J436" i="2"/>
  <c r="G49" i="7" s="1"/>
  <c r="J434" i="2"/>
  <c r="G47" i="7" s="1"/>
  <c r="J431" i="2"/>
  <c r="G44" i="7" s="1"/>
  <c r="J435" i="2"/>
  <c r="G48" i="7" s="1"/>
  <c r="J439" i="2"/>
  <c r="G52" i="7" s="1"/>
  <c r="J432" i="2"/>
  <c r="G45" i="7" s="1"/>
  <c r="J437" i="2"/>
  <c r="G50" i="7" s="1"/>
  <c r="J441" i="2"/>
  <c r="G54" i="7" s="1"/>
  <c r="J430" i="2"/>
  <c r="G43" i="7" s="1"/>
  <c r="H440" i="2"/>
  <c r="E53" i="7" s="1"/>
  <c r="H438" i="2"/>
  <c r="E51" i="7" s="1"/>
  <c r="H436" i="2"/>
  <c r="E49" i="7" s="1"/>
  <c r="H434" i="2"/>
  <c r="E47" i="7" s="1"/>
  <c r="H430" i="2"/>
  <c r="E43" i="7" s="1"/>
  <c r="H435" i="2"/>
  <c r="E48" i="7" s="1"/>
  <c r="H431" i="2"/>
  <c r="E44" i="7" s="1"/>
  <c r="H439" i="2"/>
  <c r="E52" i="7" s="1"/>
  <c r="H437" i="2"/>
  <c r="E50" i="7" s="1"/>
  <c r="H432" i="2"/>
  <c r="E45" i="7" s="1"/>
  <c r="H441" i="2"/>
  <c r="E54" i="7" s="1"/>
  <c r="T432" i="2"/>
  <c r="Q45" i="7" s="1"/>
  <c r="T430" i="2"/>
  <c r="Q43" i="7" s="1"/>
  <c r="T441" i="2"/>
  <c r="Q54" i="7" s="1"/>
  <c r="T439" i="2"/>
  <c r="Q52" i="7" s="1"/>
  <c r="T437" i="2"/>
  <c r="Q50" i="7" s="1"/>
  <c r="T435" i="2"/>
  <c r="Q48" i="7" s="1"/>
  <c r="T431" i="2"/>
  <c r="Q44" i="7" s="1"/>
  <c r="T436" i="2"/>
  <c r="Q49" i="7" s="1"/>
  <c r="T440" i="2"/>
  <c r="Q53" i="7" s="1"/>
  <c r="T434" i="2"/>
  <c r="Q47" i="7" s="1"/>
  <c r="T438" i="2"/>
  <c r="Q51" i="7" s="1"/>
  <c r="I319" i="2"/>
  <c r="I218" i="2"/>
  <c r="L218" i="2"/>
  <c r="L319" i="2"/>
  <c r="U319" i="2"/>
  <c r="U218" i="2"/>
  <c r="I440" i="2"/>
  <c r="F53" i="7" s="1"/>
  <c r="I438" i="2"/>
  <c r="F51" i="7" s="1"/>
  <c r="I436" i="2"/>
  <c r="F49" i="7" s="1"/>
  <c r="I434" i="2"/>
  <c r="F47" i="7" s="1"/>
  <c r="I431" i="2"/>
  <c r="F44" i="7" s="1"/>
  <c r="I430" i="2"/>
  <c r="F43" i="7" s="1"/>
  <c r="I435" i="2"/>
  <c r="F48" i="7" s="1"/>
  <c r="I439" i="2"/>
  <c r="F52" i="7" s="1"/>
  <c r="I432" i="2"/>
  <c r="F45" i="7" s="1"/>
  <c r="I441" i="2"/>
  <c r="F54" i="7" s="1"/>
  <c r="I437" i="2"/>
  <c r="F50" i="7" s="1"/>
  <c r="L440" i="2"/>
  <c r="I53" i="7" s="1"/>
  <c r="L438" i="2"/>
  <c r="I51" i="7" s="1"/>
  <c r="L436" i="2"/>
  <c r="I49" i="7" s="1"/>
  <c r="L434" i="2"/>
  <c r="I47" i="7" s="1"/>
  <c r="L431" i="2"/>
  <c r="I44" i="7" s="1"/>
  <c r="L441" i="2"/>
  <c r="I54" i="7" s="1"/>
  <c r="L439" i="2"/>
  <c r="I52" i="7" s="1"/>
  <c r="L437" i="2"/>
  <c r="I50" i="7" s="1"/>
  <c r="L435" i="2"/>
  <c r="I48" i="7" s="1"/>
  <c r="L432" i="2"/>
  <c r="I45" i="7" s="1"/>
  <c r="L430" i="2"/>
  <c r="I43" i="7" s="1"/>
  <c r="U432" i="2"/>
  <c r="R45" i="7" s="1"/>
  <c r="U430" i="2"/>
  <c r="R43" i="7" s="1"/>
  <c r="U439" i="2"/>
  <c r="R52" i="7" s="1"/>
  <c r="U436" i="2"/>
  <c r="R49" i="7" s="1"/>
  <c r="U440" i="2"/>
  <c r="R53" i="7" s="1"/>
  <c r="U437" i="2"/>
  <c r="R50" i="7" s="1"/>
  <c r="U434" i="2"/>
  <c r="R47" i="7" s="1"/>
  <c r="U441" i="2"/>
  <c r="R54" i="7" s="1"/>
  <c r="U438" i="2"/>
  <c r="R51" i="7" s="1"/>
  <c r="U435" i="2"/>
  <c r="R48" i="7" s="1"/>
  <c r="U431" i="2"/>
  <c r="R44" i="7" s="1"/>
  <c r="K319" i="2"/>
  <c r="K218" i="2"/>
  <c r="K440" i="2"/>
  <c r="H53" i="7" s="1"/>
  <c r="K438" i="2"/>
  <c r="H51" i="7" s="1"/>
  <c r="K436" i="2"/>
  <c r="H49" i="7" s="1"/>
  <c r="K434" i="2"/>
  <c r="H47" i="7" s="1"/>
  <c r="K431" i="2"/>
  <c r="H44" i="7" s="1"/>
  <c r="K441" i="2"/>
  <c r="H54" i="7" s="1"/>
  <c r="K439" i="2"/>
  <c r="H52" i="7" s="1"/>
  <c r="K437" i="2"/>
  <c r="H50" i="7" s="1"/>
  <c r="K435" i="2"/>
  <c r="H48" i="7" s="1"/>
  <c r="K432" i="2"/>
  <c r="H45" i="7" s="1"/>
  <c r="K430" i="2"/>
  <c r="H43" i="7" s="1"/>
  <c r="V461" i="2" l="1"/>
  <c r="S74" i="7" s="1"/>
  <c r="S48" i="7"/>
  <c r="V465" i="2"/>
  <c r="S78" i="7" s="1"/>
  <c r="S52" i="7"/>
  <c r="V466" i="2"/>
  <c r="S79" i="7" s="1"/>
  <c r="S53" i="7"/>
  <c r="V441" i="2"/>
  <c r="V437" i="2"/>
  <c r="F212" i="2"/>
  <c r="A212" i="2" s="1"/>
  <c r="V432" i="2"/>
  <c r="V434" i="2"/>
  <c r="S47" i="7" s="1"/>
  <c r="V436" i="2"/>
  <c r="V438" i="2"/>
  <c r="T442" i="2"/>
  <c r="J442" i="2"/>
  <c r="Q426" i="2"/>
  <c r="N39" i="7" s="1"/>
  <c r="Q421" i="2"/>
  <c r="N34" i="7" s="1"/>
  <c r="Q424" i="2"/>
  <c r="N37" i="7" s="1"/>
  <c r="Q417" i="2"/>
  <c r="N30" i="7" s="1"/>
  <c r="Q423" i="2"/>
  <c r="N36" i="7" s="1"/>
  <c r="Q420" i="2"/>
  <c r="N33" i="7" s="1"/>
  <c r="Q425" i="2"/>
  <c r="N38" i="7" s="1"/>
  <c r="Q419" i="2"/>
  <c r="N32" i="7" s="1"/>
  <c r="Q415" i="2"/>
  <c r="N28" i="7" s="1"/>
  <c r="Q422" i="2"/>
  <c r="N35" i="7" s="1"/>
  <c r="Q416" i="2"/>
  <c r="N29" i="7" s="1"/>
  <c r="F218" i="2"/>
  <c r="G320" i="2"/>
  <c r="F216" i="2"/>
  <c r="U423" i="2"/>
  <c r="R36" i="7" s="1"/>
  <c r="U426" i="2"/>
  <c r="R39" i="7" s="1"/>
  <c r="U419" i="2"/>
  <c r="R32" i="7" s="1"/>
  <c r="U425" i="2"/>
  <c r="R38" i="7" s="1"/>
  <c r="U424" i="2"/>
  <c r="R37" i="7" s="1"/>
  <c r="U421" i="2"/>
  <c r="R34" i="7" s="1"/>
  <c r="U417" i="2"/>
  <c r="R30" i="7" s="1"/>
  <c r="U422" i="2"/>
  <c r="R35" i="7" s="1"/>
  <c r="U415" i="2"/>
  <c r="R28" i="7" s="1"/>
  <c r="U420" i="2"/>
  <c r="R33" i="7" s="1"/>
  <c r="U416" i="2"/>
  <c r="R29" i="7" s="1"/>
  <c r="F319" i="2"/>
  <c r="G423" i="2"/>
  <c r="D36" i="7" s="1"/>
  <c r="G424" i="2"/>
  <c r="D37" i="7" s="1"/>
  <c r="G419" i="2"/>
  <c r="D32" i="7" s="1"/>
  <c r="G415" i="2"/>
  <c r="D28" i="7" s="1"/>
  <c r="G417" i="2"/>
  <c r="D30" i="7" s="1"/>
  <c r="G420" i="2"/>
  <c r="D33" i="7" s="1"/>
  <c r="G421" i="2"/>
  <c r="D34" i="7" s="1"/>
  <c r="G422" i="2"/>
  <c r="D35" i="7" s="1"/>
  <c r="G426" i="2"/>
  <c r="D39" i="7" s="1"/>
  <c r="G416" i="2"/>
  <c r="D29" i="7" s="1"/>
  <c r="G425" i="2"/>
  <c r="D38" i="7" s="1"/>
  <c r="K421" i="2"/>
  <c r="H34" i="7" s="1"/>
  <c r="K417" i="2"/>
  <c r="H30" i="7" s="1"/>
  <c r="K416" i="2"/>
  <c r="H29" i="7" s="1"/>
  <c r="K426" i="2"/>
  <c r="H39" i="7" s="1"/>
  <c r="K422" i="2"/>
  <c r="H35" i="7" s="1"/>
  <c r="K423" i="2"/>
  <c r="H36" i="7" s="1"/>
  <c r="K424" i="2"/>
  <c r="H37" i="7" s="1"/>
  <c r="K419" i="2"/>
  <c r="H32" i="7" s="1"/>
  <c r="K425" i="2"/>
  <c r="H38" i="7" s="1"/>
  <c r="K420" i="2"/>
  <c r="H33" i="7" s="1"/>
  <c r="K415" i="2"/>
  <c r="H28" i="7" s="1"/>
  <c r="L417" i="2"/>
  <c r="I30" i="7" s="1"/>
  <c r="L425" i="2"/>
  <c r="I38" i="7" s="1"/>
  <c r="L423" i="2"/>
  <c r="I36" i="7" s="1"/>
  <c r="L424" i="2"/>
  <c r="I37" i="7" s="1"/>
  <c r="L416" i="2"/>
  <c r="I29" i="7" s="1"/>
  <c r="L420" i="2"/>
  <c r="I33" i="7" s="1"/>
  <c r="L426" i="2"/>
  <c r="I39" i="7" s="1"/>
  <c r="L422" i="2"/>
  <c r="I35" i="7" s="1"/>
  <c r="L419" i="2"/>
  <c r="I32" i="7" s="1"/>
  <c r="L421" i="2"/>
  <c r="I34" i="7" s="1"/>
  <c r="L415" i="2"/>
  <c r="I28" i="7" s="1"/>
  <c r="H442" i="2"/>
  <c r="M442" i="2"/>
  <c r="O442" i="2"/>
  <c r="O420" i="2"/>
  <c r="L33" i="7" s="1"/>
  <c r="O419" i="2"/>
  <c r="L32" i="7" s="1"/>
  <c r="O426" i="2"/>
  <c r="L39" i="7" s="1"/>
  <c r="O422" i="2"/>
  <c r="L35" i="7" s="1"/>
  <c r="O421" i="2"/>
  <c r="L34" i="7" s="1"/>
  <c r="O425" i="2"/>
  <c r="L38" i="7" s="1"/>
  <c r="O415" i="2"/>
  <c r="L28" i="7" s="1"/>
  <c r="O416" i="2"/>
  <c r="L29" i="7" s="1"/>
  <c r="O424" i="2"/>
  <c r="L37" i="7" s="1"/>
  <c r="O423" i="2"/>
  <c r="L36" i="7" s="1"/>
  <c r="O417" i="2"/>
  <c r="L30" i="7" s="1"/>
  <c r="R421" i="2"/>
  <c r="O34" i="7" s="1"/>
  <c r="R422" i="2"/>
  <c r="O35" i="7" s="1"/>
  <c r="R420" i="2"/>
  <c r="O33" i="7" s="1"/>
  <c r="R423" i="2"/>
  <c r="O36" i="7" s="1"/>
  <c r="R417" i="2"/>
  <c r="O30" i="7" s="1"/>
  <c r="R425" i="2"/>
  <c r="O38" i="7" s="1"/>
  <c r="R415" i="2"/>
  <c r="O28" i="7" s="1"/>
  <c r="R424" i="2"/>
  <c r="O37" i="7" s="1"/>
  <c r="R419" i="2"/>
  <c r="O32" i="7" s="1"/>
  <c r="R426" i="2"/>
  <c r="O39" i="7" s="1"/>
  <c r="R416" i="2"/>
  <c r="O29" i="7" s="1"/>
  <c r="N442" i="2"/>
  <c r="I416" i="2"/>
  <c r="F29" i="7" s="1"/>
  <c r="I417" i="2"/>
  <c r="F30" i="7" s="1"/>
  <c r="I419" i="2"/>
  <c r="F32" i="7" s="1"/>
  <c r="I422" i="2"/>
  <c r="F35" i="7" s="1"/>
  <c r="I423" i="2"/>
  <c r="F36" i="7" s="1"/>
  <c r="I415" i="2"/>
  <c r="F28" i="7" s="1"/>
  <c r="I425" i="2"/>
  <c r="F38" i="7" s="1"/>
  <c r="I426" i="2"/>
  <c r="F39" i="7" s="1"/>
  <c r="I421" i="2"/>
  <c r="F34" i="7" s="1"/>
  <c r="I420" i="2"/>
  <c r="F33" i="7" s="1"/>
  <c r="I424" i="2"/>
  <c r="F37" i="7" s="1"/>
  <c r="I442" i="2"/>
  <c r="S442" i="2"/>
  <c r="H426" i="2"/>
  <c r="E39" i="7" s="1"/>
  <c r="H421" i="2"/>
  <c r="E34" i="7" s="1"/>
  <c r="H417" i="2"/>
  <c r="E30" i="7" s="1"/>
  <c r="H422" i="2"/>
  <c r="E35" i="7" s="1"/>
  <c r="H415" i="2"/>
  <c r="E28" i="7" s="1"/>
  <c r="H424" i="2"/>
  <c r="E37" i="7" s="1"/>
  <c r="H420" i="2"/>
  <c r="E33" i="7" s="1"/>
  <c r="H423" i="2"/>
  <c r="E36" i="7" s="1"/>
  <c r="H419" i="2"/>
  <c r="E32" i="7" s="1"/>
  <c r="H425" i="2"/>
  <c r="E38" i="7" s="1"/>
  <c r="H416" i="2"/>
  <c r="E29" i="7" s="1"/>
  <c r="N553" i="2"/>
  <c r="T550" i="2"/>
  <c r="T549" i="2"/>
  <c r="T547" i="2"/>
  <c r="T552" i="2"/>
  <c r="T551" i="2"/>
  <c r="T548" i="2"/>
  <c r="T545" i="2"/>
  <c r="V430" i="2" s="1"/>
  <c r="S43" i="7" s="1"/>
  <c r="P442" i="2"/>
  <c r="K442" i="2"/>
  <c r="U442" i="2"/>
  <c r="L442" i="2"/>
  <c r="S424" i="2"/>
  <c r="P37" i="7" s="1"/>
  <c r="S419" i="2"/>
  <c r="P32" i="7" s="1"/>
  <c r="S416" i="2"/>
  <c r="P29" i="7" s="1"/>
  <c r="S422" i="2"/>
  <c r="P35" i="7" s="1"/>
  <c r="S426" i="2"/>
  <c r="P39" i="7" s="1"/>
  <c r="S421" i="2"/>
  <c r="P34" i="7" s="1"/>
  <c r="S417" i="2"/>
  <c r="P30" i="7" s="1"/>
  <c r="S415" i="2"/>
  <c r="P28" i="7" s="1"/>
  <c r="S420" i="2"/>
  <c r="P33" i="7" s="1"/>
  <c r="S423" i="2"/>
  <c r="P36" i="7" s="1"/>
  <c r="S425" i="2"/>
  <c r="P38" i="7" s="1"/>
  <c r="T425" i="2"/>
  <c r="Q38" i="7" s="1"/>
  <c r="T420" i="2"/>
  <c r="Q33" i="7" s="1"/>
  <c r="T426" i="2"/>
  <c r="Q39" i="7" s="1"/>
  <c r="T423" i="2"/>
  <c r="Q36" i="7" s="1"/>
  <c r="T424" i="2"/>
  <c r="Q37" i="7" s="1"/>
  <c r="T422" i="2"/>
  <c r="Q35" i="7" s="1"/>
  <c r="T417" i="2"/>
  <c r="Q30" i="7" s="1"/>
  <c r="T415" i="2"/>
  <c r="Q28" i="7" s="1"/>
  <c r="T419" i="2"/>
  <c r="Q32" i="7" s="1"/>
  <c r="T421" i="2"/>
  <c r="Q34" i="7" s="1"/>
  <c r="T416" i="2"/>
  <c r="Q29" i="7" s="1"/>
  <c r="P421" i="2"/>
  <c r="M34" i="7" s="1"/>
  <c r="P415" i="2"/>
  <c r="M28" i="7" s="1"/>
  <c r="P416" i="2"/>
  <c r="M29" i="7" s="1"/>
  <c r="P425" i="2"/>
  <c r="M38" i="7" s="1"/>
  <c r="P426" i="2"/>
  <c r="M39" i="7" s="1"/>
  <c r="P424" i="2"/>
  <c r="M37" i="7" s="1"/>
  <c r="P417" i="2"/>
  <c r="M30" i="7" s="1"/>
  <c r="P420" i="2"/>
  <c r="M33" i="7" s="1"/>
  <c r="P419" i="2"/>
  <c r="M32" i="7" s="1"/>
  <c r="P423" i="2"/>
  <c r="M36" i="7" s="1"/>
  <c r="P422" i="2"/>
  <c r="M35" i="7" s="1"/>
  <c r="R442" i="2"/>
  <c r="J425" i="2"/>
  <c r="G38" i="7" s="1"/>
  <c r="J426" i="2"/>
  <c r="G39" i="7" s="1"/>
  <c r="J423" i="2"/>
  <c r="G36" i="7" s="1"/>
  <c r="J421" i="2"/>
  <c r="G34" i="7" s="1"/>
  <c r="J424" i="2"/>
  <c r="G37" i="7" s="1"/>
  <c r="J415" i="2"/>
  <c r="G28" i="7" s="1"/>
  <c r="J419" i="2"/>
  <c r="G32" i="7" s="1"/>
  <c r="J422" i="2"/>
  <c r="G35" i="7" s="1"/>
  <c r="J420" i="2"/>
  <c r="G33" i="7" s="1"/>
  <c r="J416" i="2"/>
  <c r="G29" i="7" s="1"/>
  <c r="J417" i="2"/>
  <c r="G30" i="7" s="1"/>
  <c r="M424" i="2"/>
  <c r="J37" i="7" s="1"/>
  <c r="M422" i="2"/>
  <c r="J35" i="7" s="1"/>
  <c r="M425" i="2"/>
  <c r="J38" i="7" s="1"/>
  <c r="M423" i="2"/>
  <c r="J36" i="7" s="1"/>
  <c r="M415" i="2"/>
  <c r="J28" i="7" s="1"/>
  <c r="M426" i="2"/>
  <c r="J39" i="7" s="1"/>
  <c r="M421" i="2"/>
  <c r="J34" i="7" s="1"/>
  <c r="M419" i="2"/>
  <c r="J32" i="7" s="1"/>
  <c r="M420" i="2"/>
  <c r="J33" i="7" s="1"/>
  <c r="M417" i="2"/>
  <c r="J30" i="7" s="1"/>
  <c r="M416" i="2"/>
  <c r="J29" i="7" s="1"/>
  <c r="S550" i="2"/>
  <c r="S548" i="2"/>
  <c r="S552" i="2"/>
  <c r="S551" i="2"/>
  <c r="S549" i="2"/>
  <c r="S547" i="2"/>
  <c r="S545" i="2"/>
  <c r="V415" i="2" s="1"/>
  <c r="S28" i="7" s="1"/>
  <c r="N424" i="2"/>
  <c r="K37" i="7" s="1"/>
  <c r="N425" i="2"/>
  <c r="K38" i="7" s="1"/>
  <c r="N423" i="2"/>
  <c r="K36" i="7" s="1"/>
  <c r="N416" i="2"/>
  <c r="K29" i="7" s="1"/>
  <c r="N417" i="2"/>
  <c r="K30" i="7" s="1"/>
  <c r="N415" i="2"/>
  <c r="K28" i="7" s="1"/>
  <c r="N426" i="2"/>
  <c r="K39" i="7" s="1"/>
  <c r="N422" i="2"/>
  <c r="K35" i="7" s="1"/>
  <c r="N420" i="2"/>
  <c r="K33" i="7" s="1"/>
  <c r="N421" i="2"/>
  <c r="K34" i="7" s="1"/>
  <c r="N419" i="2"/>
  <c r="K32" i="7" s="1"/>
  <c r="Q442" i="2"/>
  <c r="T443" i="2" l="1"/>
  <c r="Q56" i="7" s="1"/>
  <c r="Q55" i="7"/>
  <c r="V464" i="2"/>
  <c r="S51" i="7"/>
  <c r="K443" i="2"/>
  <c r="H56" i="7" s="1"/>
  <c r="H55" i="7"/>
  <c r="I443" i="2"/>
  <c r="F56" i="7" s="1"/>
  <c r="F55" i="7"/>
  <c r="V462" i="2"/>
  <c r="S75" i="7" s="1"/>
  <c r="S49" i="7"/>
  <c r="P443" i="2"/>
  <c r="M56" i="7" s="1"/>
  <c r="M55" i="7"/>
  <c r="V458" i="2"/>
  <c r="S45" i="7"/>
  <c r="L443" i="2"/>
  <c r="I56" i="7" s="1"/>
  <c r="I55" i="7"/>
  <c r="U443" i="2"/>
  <c r="R56" i="7" s="1"/>
  <c r="R55" i="7"/>
  <c r="V463" i="2"/>
  <c r="S76" i="7" s="1"/>
  <c r="S50" i="7"/>
  <c r="O443" i="2"/>
  <c r="L56" i="7" s="1"/>
  <c r="L55" i="7"/>
  <c r="V467" i="2"/>
  <c r="S80" i="7" s="1"/>
  <c r="S54" i="7"/>
  <c r="M443" i="2"/>
  <c r="J56" i="7" s="1"/>
  <c r="J55" i="7"/>
  <c r="H443" i="2"/>
  <c r="E56" i="7" s="1"/>
  <c r="E55" i="7"/>
  <c r="R443" i="2"/>
  <c r="O56" i="7" s="1"/>
  <c r="O55" i="7"/>
  <c r="N443" i="2"/>
  <c r="K56" i="7" s="1"/>
  <c r="K55" i="7"/>
  <c r="Q443" i="2"/>
  <c r="N56" i="7" s="1"/>
  <c r="N55" i="7"/>
  <c r="S443" i="2"/>
  <c r="P56" i="7" s="1"/>
  <c r="P55" i="7"/>
  <c r="J443" i="2"/>
  <c r="G56" i="7" s="1"/>
  <c r="G55" i="7"/>
  <c r="V442" i="2"/>
  <c r="S55" i="7" s="1"/>
  <c r="V460" i="2"/>
  <c r="S553" i="2"/>
  <c r="V416" i="2" s="1"/>
  <c r="J427" i="2"/>
  <c r="S427" i="2"/>
  <c r="M427" i="2"/>
  <c r="F426" i="2"/>
  <c r="C39" i="7" s="1"/>
  <c r="G430" i="2"/>
  <c r="G435" i="2"/>
  <c r="G431" i="2"/>
  <c r="D44" i="7" s="1"/>
  <c r="G439" i="2"/>
  <c r="G436" i="2"/>
  <c r="G440" i="2"/>
  <c r="G432" i="2"/>
  <c r="G437" i="2"/>
  <c r="G434" i="2"/>
  <c r="D47" i="7" s="1"/>
  <c r="G441" i="2"/>
  <c r="G438" i="2"/>
  <c r="F320" i="2"/>
  <c r="F422" i="2"/>
  <c r="C35" i="7" s="1"/>
  <c r="T553" i="2"/>
  <c r="V431" i="2" s="1"/>
  <c r="F421" i="2"/>
  <c r="C34" i="7" s="1"/>
  <c r="Q427" i="2"/>
  <c r="F417" i="2"/>
  <c r="C30" i="7" s="1"/>
  <c r="L427" i="2"/>
  <c r="G427" i="2"/>
  <c r="F419" i="2"/>
  <c r="C32" i="7" s="1"/>
  <c r="N427" i="2"/>
  <c r="F424" i="2"/>
  <c r="C37" i="7" s="1"/>
  <c r="U427" i="2"/>
  <c r="A218" i="2"/>
  <c r="I427" i="2"/>
  <c r="F423" i="2"/>
  <c r="C36" i="7" s="1"/>
  <c r="K427" i="2"/>
  <c r="R427" i="2"/>
  <c r="T427" i="2"/>
  <c r="H427" i="2"/>
  <c r="F420" i="2"/>
  <c r="C33" i="7" s="1"/>
  <c r="F415" i="2"/>
  <c r="C28" i="7" s="1"/>
  <c r="P427" i="2"/>
  <c r="O427" i="2"/>
  <c r="F425" i="2"/>
  <c r="C38" i="7" s="1"/>
  <c r="V473" i="2" l="1"/>
  <c r="S71" i="7"/>
  <c r="V468" i="2"/>
  <c r="S81" i="7" s="1"/>
  <c r="S73" i="7"/>
  <c r="V494" i="2"/>
  <c r="S107" i="7" s="1"/>
  <c r="S77" i="7"/>
  <c r="U428" i="2"/>
  <c r="R41" i="7" s="1"/>
  <c r="R40" i="7"/>
  <c r="F441" i="2"/>
  <c r="C54" i="7" s="1"/>
  <c r="D54" i="7"/>
  <c r="J428" i="2"/>
  <c r="G41" i="7" s="1"/>
  <c r="G40" i="7"/>
  <c r="V428" i="2"/>
  <c r="S41" i="7" s="1"/>
  <c r="S29" i="7"/>
  <c r="F440" i="2"/>
  <c r="C53" i="7" s="1"/>
  <c r="D53" i="7"/>
  <c r="N428" i="2"/>
  <c r="K41" i="7" s="1"/>
  <c r="K40" i="7"/>
  <c r="F435" i="2"/>
  <c r="C48" i="7" s="1"/>
  <c r="D48" i="7"/>
  <c r="F436" i="2"/>
  <c r="C49" i="7" s="1"/>
  <c r="D49" i="7"/>
  <c r="F432" i="2"/>
  <c r="C45" i="7" s="1"/>
  <c r="D45" i="7"/>
  <c r="F439" i="2"/>
  <c r="C52" i="7" s="1"/>
  <c r="D52" i="7"/>
  <c r="F437" i="2"/>
  <c r="C50" i="7" s="1"/>
  <c r="D50" i="7"/>
  <c r="O428" i="2"/>
  <c r="L41" i="7" s="1"/>
  <c r="L40" i="7"/>
  <c r="G428" i="2"/>
  <c r="D41" i="7" s="1"/>
  <c r="D40" i="7"/>
  <c r="T428" i="2"/>
  <c r="Q41" i="7" s="1"/>
  <c r="Q40" i="7"/>
  <c r="R428" i="2"/>
  <c r="O41" i="7" s="1"/>
  <c r="O40" i="7"/>
  <c r="V443" i="2"/>
  <c r="S56" i="7" s="1"/>
  <c r="S44" i="7"/>
  <c r="F430" i="2"/>
  <c r="C43" i="7" s="1"/>
  <c r="D43" i="7"/>
  <c r="M428" i="2"/>
  <c r="J41" i="7" s="1"/>
  <c r="J40" i="7"/>
  <c r="H428" i="2"/>
  <c r="E41" i="7" s="1"/>
  <c r="E40" i="7"/>
  <c r="Q428" i="2"/>
  <c r="N41" i="7" s="1"/>
  <c r="N40" i="7"/>
  <c r="K428" i="2"/>
  <c r="H41" i="7" s="1"/>
  <c r="H40" i="7"/>
  <c r="F416" i="2"/>
  <c r="C29" i="7" s="1"/>
  <c r="P428" i="2"/>
  <c r="M41" i="7" s="1"/>
  <c r="M40" i="7"/>
  <c r="L428" i="2"/>
  <c r="I41" i="7" s="1"/>
  <c r="I40" i="7"/>
  <c r="I428" i="2"/>
  <c r="F41" i="7" s="1"/>
  <c r="F40" i="7"/>
  <c r="F438" i="2"/>
  <c r="C51" i="7" s="1"/>
  <c r="D51" i="7"/>
  <c r="S428" i="2"/>
  <c r="P41" i="7" s="1"/>
  <c r="P40" i="7"/>
  <c r="F431" i="2"/>
  <c r="C44" i="7" s="1"/>
  <c r="F427" i="2"/>
  <c r="C40" i="7" s="1"/>
  <c r="G442" i="2"/>
  <c r="F434" i="2"/>
  <c r="V488" i="2" l="1"/>
  <c r="S101" i="7" s="1"/>
  <c r="S86" i="7"/>
  <c r="G443" i="2"/>
  <c r="D56" i="7" s="1"/>
  <c r="D55" i="7"/>
  <c r="F442" i="2"/>
  <c r="C47" i="7"/>
  <c r="A427" i="2"/>
  <c r="F428" i="2"/>
  <c r="N305" i="2"/>
  <c r="R305" i="2"/>
  <c r="L305" i="2"/>
  <c r="I305" i="2"/>
  <c r="M305" i="2"/>
  <c r="Q305" i="2"/>
  <c r="AF305" i="2"/>
  <c r="AE305" i="2"/>
  <c r="G305" i="2"/>
  <c r="H305" i="2"/>
  <c r="P305" i="2"/>
  <c r="V305" i="2"/>
  <c r="T305" i="2"/>
  <c r="K305" i="2"/>
  <c r="U305" i="2"/>
  <c r="S305" i="2"/>
  <c r="O305" i="2"/>
  <c r="J305" i="2"/>
  <c r="A428" i="2" l="1"/>
  <c r="C41" i="7"/>
  <c r="F443" i="2"/>
  <c r="C56" i="7" s="1"/>
  <c r="C55" i="7"/>
  <c r="Q306" i="2"/>
  <c r="T306" i="2"/>
  <c r="K306" i="2"/>
  <c r="I306" i="2"/>
  <c r="O306" i="2"/>
  <c r="R306" i="2"/>
  <c r="N306" i="2"/>
  <c r="AE306" i="2"/>
  <c r="S306" i="2"/>
  <c r="AF306" i="2"/>
  <c r="M306" i="2"/>
  <c r="H306" i="2"/>
  <c r="P306" i="2"/>
  <c r="U306" i="2"/>
  <c r="V306" i="2"/>
  <c r="G306" i="2"/>
  <c r="L306" i="2"/>
  <c r="J306" i="2"/>
  <c r="F312" i="2"/>
  <c r="S302" i="2"/>
  <c r="L302" i="2"/>
  <c r="J302" i="2"/>
  <c r="R302" i="2"/>
  <c r="M302" i="2"/>
  <c r="K302" i="2"/>
  <c r="AF302" i="2"/>
  <c r="I302" i="2"/>
  <c r="P302" i="2"/>
  <c r="AE302" i="2"/>
  <c r="G302" i="2"/>
  <c r="H302" i="2"/>
  <c r="O302" i="2"/>
  <c r="T302" i="2"/>
  <c r="V302" i="2"/>
  <c r="N302" i="2"/>
  <c r="Q302" i="2"/>
  <c r="U302" i="2"/>
  <c r="Q312" i="2" l="1"/>
  <c r="Q314" i="2" s="1"/>
  <c r="R312" i="2"/>
  <c r="R314" i="2" s="1"/>
  <c r="R322" i="2" s="1"/>
  <c r="T312" i="2"/>
  <c r="T314" i="2" s="1"/>
  <c r="T322" i="2" s="1"/>
  <c r="L312" i="2"/>
  <c r="L314" i="2" s="1"/>
  <c r="L322" i="2" s="1"/>
  <c r="J312" i="2"/>
  <c r="J314" i="2" s="1"/>
  <c r="I312" i="2"/>
  <c r="I314" i="2" s="1"/>
  <c r="I322" i="2" s="1"/>
  <c r="K312" i="2"/>
  <c r="K314" i="2" s="1"/>
  <c r="K317" i="2" s="1"/>
  <c r="P312" i="2"/>
  <c r="P314" i="2" s="1"/>
  <c r="P322" i="2" s="1"/>
  <c r="N312" i="2"/>
  <c r="N314" i="2" s="1"/>
  <c r="N317" i="2" s="1"/>
  <c r="G312" i="2"/>
  <c r="G314" i="2" s="1"/>
  <c r="G317" i="2" s="1"/>
  <c r="M312" i="2"/>
  <c r="M314" i="2" s="1"/>
  <c r="M322" i="2" s="1"/>
  <c r="O312" i="2"/>
  <c r="O314" i="2" s="1"/>
  <c r="O322" i="2" s="1"/>
  <c r="AF312" i="2"/>
  <c r="AF314" i="2" s="1"/>
  <c r="U312" i="2"/>
  <c r="U314" i="2" s="1"/>
  <c r="Q322" i="2"/>
  <c r="Q317" i="2"/>
  <c r="J322" i="2"/>
  <c r="J317" i="2"/>
  <c r="P554" i="2"/>
  <c r="V312" i="2"/>
  <c r="V314" i="2" s="1"/>
  <c r="S312" i="2"/>
  <c r="S314" i="2" s="1"/>
  <c r="T317" i="2"/>
  <c r="F314" i="2"/>
  <c r="H312" i="2"/>
  <c r="H314" i="2" s="1"/>
  <c r="AE312" i="2"/>
  <c r="AE314" i="2" s="1"/>
  <c r="R317" i="2" l="1"/>
  <c r="K322" i="2"/>
  <c r="I317" i="2"/>
  <c r="L317" i="2"/>
  <c r="P317" i="2"/>
  <c r="N322" i="2"/>
  <c r="M317" i="2"/>
  <c r="M400" i="2" s="1"/>
  <c r="G322" i="2"/>
  <c r="O317" i="2"/>
  <c r="O401" i="2" s="1"/>
  <c r="G409" i="2"/>
  <c r="D22" i="7" s="1"/>
  <c r="G410" i="2"/>
  <c r="D23" i="7" s="1"/>
  <c r="G400" i="2"/>
  <c r="D13" i="7" s="1"/>
  <c r="G408" i="2"/>
  <c r="D21" i="7" s="1"/>
  <c r="G404" i="2"/>
  <c r="D17" i="7" s="1"/>
  <c r="G402" i="2"/>
  <c r="D15" i="7" s="1"/>
  <c r="G405" i="2"/>
  <c r="D18" i="7" s="1"/>
  <c r="G407" i="2"/>
  <c r="D20" i="7" s="1"/>
  <c r="G411" i="2"/>
  <c r="D24" i="7" s="1"/>
  <c r="G406" i="2"/>
  <c r="D19" i="7" s="1"/>
  <c r="G401" i="2"/>
  <c r="D14" i="7" s="1"/>
  <c r="U322" i="2"/>
  <c r="U317" i="2"/>
  <c r="H322" i="2"/>
  <c r="H317" i="2"/>
  <c r="N410" i="2"/>
  <c r="N409" i="2"/>
  <c r="N408" i="2"/>
  <c r="N401" i="2"/>
  <c r="N402" i="2"/>
  <c r="N400" i="2"/>
  <c r="N411" i="2"/>
  <c r="N406" i="2"/>
  <c r="N404" i="2"/>
  <c r="K17" i="7" s="1"/>
  <c r="N407" i="2"/>
  <c r="N405" i="2"/>
  <c r="M401" i="2"/>
  <c r="M405" i="2"/>
  <c r="A312" i="2"/>
  <c r="K404" i="2"/>
  <c r="H17" i="7" s="1"/>
  <c r="K410" i="2"/>
  <c r="K400" i="2"/>
  <c r="K406" i="2"/>
  <c r="K401" i="2"/>
  <c r="K402" i="2"/>
  <c r="K411" i="2"/>
  <c r="K407" i="2"/>
  <c r="K408" i="2"/>
  <c r="K409" i="2"/>
  <c r="K405" i="2"/>
  <c r="A314" i="2"/>
  <c r="F317" i="2"/>
  <c r="F322" i="2"/>
  <c r="J408" i="2"/>
  <c r="J410" i="2"/>
  <c r="J411" i="2"/>
  <c r="J409" i="2"/>
  <c r="J400" i="2"/>
  <c r="J406" i="2"/>
  <c r="J404" i="2"/>
  <c r="G17" i="7" s="1"/>
  <c r="J407" i="2"/>
  <c r="J405" i="2"/>
  <c r="J401" i="2"/>
  <c r="J402" i="2"/>
  <c r="AF322" i="2"/>
  <c r="AF317" i="2"/>
  <c r="Q405" i="2"/>
  <c r="Q410" i="2"/>
  <c r="Q400" i="2"/>
  <c r="Q411" i="2"/>
  <c r="Q406" i="2"/>
  <c r="Q402" i="2"/>
  <c r="Q408" i="2"/>
  <c r="Q407" i="2"/>
  <c r="Q409" i="2"/>
  <c r="Q401" i="2"/>
  <c r="Q404" i="2"/>
  <c r="N17" i="7" s="1"/>
  <c r="T410" i="2"/>
  <c r="T411" i="2"/>
  <c r="T408" i="2"/>
  <c r="T407" i="2"/>
  <c r="T402" i="2"/>
  <c r="T404" i="2"/>
  <c r="Q17" i="7" s="1"/>
  <c r="T406" i="2"/>
  <c r="T400" i="2"/>
  <c r="T401" i="2"/>
  <c r="T405" i="2"/>
  <c r="T409" i="2"/>
  <c r="I401" i="2"/>
  <c r="I402" i="2"/>
  <c r="I404" i="2"/>
  <c r="F17" i="7" s="1"/>
  <c r="I407" i="2"/>
  <c r="I408" i="2"/>
  <c r="I400" i="2"/>
  <c r="I411" i="2"/>
  <c r="I405" i="2"/>
  <c r="I410" i="2"/>
  <c r="I406" i="2"/>
  <c r="I409" i="2"/>
  <c r="S317" i="2"/>
  <c r="S322" i="2"/>
  <c r="AE322" i="2"/>
  <c r="AE317" i="2"/>
  <c r="V317" i="2"/>
  <c r="V322" i="2"/>
  <c r="R411" i="2"/>
  <c r="R401" i="2"/>
  <c r="R406" i="2"/>
  <c r="R407" i="2"/>
  <c r="R405" i="2"/>
  <c r="R408" i="2"/>
  <c r="R410" i="2"/>
  <c r="R400" i="2"/>
  <c r="R402" i="2"/>
  <c r="R404" i="2"/>
  <c r="O17" i="7" s="1"/>
  <c r="R409" i="2"/>
  <c r="P401" i="2"/>
  <c r="P410" i="2"/>
  <c r="P409" i="2"/>
  <c r="P411" i="2"/>
  <c r="P404" i="2"/>
  <c r="M17" i="7" s="1"/>
  <c r="P408" i="2"/>
  <c r="P402" i="2"/>
  <c r="P405" i="2"/>
  <c r="P407" i="2"/>
  <c r="P406" i="2"/>
  <c r="P400" i="2"/>
  <c r="P551" i="2"/>
  <c r="R551" i="2" s="1"/>
  <c r="U551" i="2" s="1"/>
  <c r="P545" i="2"/>
  <c r="R545" i="2" s="1"/>
  <c r="P548" i="2"/>
  <c r="R548" i="2" s="1"/>
  <c r="U548" i="2" s="1"/>
  <c r="P552" i="2"/>
  <c r="R552" i="2" s="1"/>
  <c r="U552" i="2" s="1"/>
  <c r="P549" i="2"/>
  <c r="R549" i="2" s="1"/>
  <c r="U549" i="2" s="1"/>
  <c r="P547" i="2"/>
  <c r="P550" i="2"/>
  <c r="R550" i="2" s="1"/>
  <c r="U550" i="2" s="1"/>
  <c r="L408" i="2"/>
  <c r="L401" i="2"/>
  <c r="L410" i="2"/>
  <c r="L409" i="2"/>
  <c r="L405" i="2"/>
  <c r="L411" i="2"/>
  <c r="L407" i="2"/>
  <c r="L404" i="2"/>
  <c r="I17" i="7" s="1"/>
  <c r="L400" i="2"/>
  <c r="L406" i="2"/>
  <c r="L402" i="2"/>
  <c r="M404" i="2" l="1"/>
  <c r="J17" i="7" s="1"/>
  <c r="M411" i="2"/>
  <c r="M407" i="2"/>
  <c r="M408" i="2"/>
  <c r="M409" i="2"/>
  <c r="J22" i="7" s="1"/>
  <c r="M410" i="2"/>
  <c r="M402" i="2"/>
  <c r="M458" i="2" s="1"/>
  <c r="O410" i="2"/>
  <c r="O466" i="2" s="1"/>
  <c r="L79" i="7" s="1"/>
  <c r="M406" i="2"/>
  <c r="M462" i="2" s="1"/>
  <c r="J75" i="7" s="1"/>
  <c r="N467" i="2"/>
  <c r="K80" i="7" s="1"/>
  <c r="K24" i="7"/>
  <c r="P461" i="2"/>
  <c r="M74" i="7" s="1"/>
  <c r="M18" i="7"/>
  <c r="T458" i="2"/>
  <c r="Q71" i="7" s="1"/>
  <c r="Q15" i="7"/>
  <c r="J464" i="2"/>
  <c r="G21" i="7"/>
  <c r="N463" i="2"/>
  <c r="K76" i="7" s="1"/>
  <c r="K20" i="7"/>
  <c r="R463" i="2"/>
  <c r="O76" i="7" s="1"/>
  <c r="O20" i="7"/>
  <c r="Q461" i="2"/>
  <c r="N74" i="7" s="1"/>
  <c r="N18" i="7"/>
  <c r="T466" i="2"/>
  <c r="Q79" i="7" s="1"/>
  <c r="Q23" i="7"/>
  <c r="I456" i="2"/>
  <c r="F69" i="7" s="1"/>
  <c r="F13" i="7"/>
  <c r="N462" i="2"/>
  <c r="K75" i="7" s="1"/>
  <c r="K19" i="7"/>
  <c r="L464" i="2"/>
  <c r="I21" i="7"/>
  <c r="I464" i="2"/>
  <c r="F21" i="7"/>
  <c r="I463" i="2"/>
  <c r="F76" i="7" s="1"/>
  <c r="F20" i="7"/>
  <c r="J458" i="2"/>
  <c r="G15" i="7"/>
  <c r="M464" i="2"/>
  <c r="J21" i="7"/>
  <c r="N464" i="2"/>
  <c r="K21" i="7"/>
  <c r="L465" i="2"/>
  <c r="I78" i="7" s="1"/>
  <c r="I22" i="7"/>
  <c r="Q466" i="2"/>
  <c r="N79" i="7" s="1"/>
  <c r="N23" i="7"/>
  <c r="R467" i="2"/>
  <c r="O80" i="7" s="1"/>
  <c r="O24" i="7"/>
  <c r="P458" i="2"/>
  <c r="M71" i="7" s="1"/>
  <c r="M15" i="7"/>
  <c r="L457" i="2"/>
  <c r="I70" i="7" s="1"/>
  <c r="I14" i="7"/>
  <c r="N456" i="2"/>
  <c r="K69" i="7" s="1"/>
  <c r="K13" i="7"/>
  <c r="J457" i="2"/>
  <c r="G70" i="7" s="1"/>
  <c r="G14" i="7"/>
  <c r="K465" i="2"/>
  <c r="H78" i="7" s="1"/>
  <c r="H22" i="7"/>
  <c r="N458" i="2"/>
  <c r="K15" i="7"/>
  <c r="I458" i="2"/>
  <c r="F15" i="7"/>
  <c r="J461" i="2"/>
  <c r="G74" i="7" s="1"/>
  <c r="G18" i="7"/>
  <c r="K464" i="2"/>
  <c r="H21" i="7"/>
  <c r="M467" i="2"/>
  <c r="J80" i="7" s="1"/>
  <c r="J24" i="7"/>
  <c r="L458" i="2"/>
  <c r="I71" i="7" s="1"/>
  <c r="I15" i="7"/>
  <c r="Q465" i="2"/>
  <c r="N78" i="7" s="1"/>
  <c r="N22" i="7"/>
  <c r="J463" i="2"/>
  <c r="G76" i="7" s="1"/>
  <c r="G20" i="7"/>
  <c r="M463" i="2"/>
  <c r="J76" i="7" s="1"/>
  <c r="J20" i="7"/>
  <c r="Q463" i="2"/>
  <c r="N76" i="7" s="1"/>
  <c r="N20" i="7"/>
  <c r="Q464" i="2"/>
  <c r="N21" i="7"/>
  <c r="M466" i="2"/>
  <c r="J79" i="7" s="1"/>
  <c r="J23" i="7"/>
  <c r="R458" i="2"/>
  <c r="O71" i="7" s="1"/>
  <c r="O15" i="7"/>
  <c r="J456" i="2"/>
  <c r="G69" i="7" s="1"/>
  <c r="G13" i="7"/>
  <c r="R462" i="2"/>
  <c r="O75" i="7" s="1"/>
  <c r="O19" i="7"/>
  <c r="T464" i="2"/>
  <c r="Q21" i="7"/>
  <c r="M461" i="2"/>
  <c r="J74" i="7" s="1"/>
  <c r="J18" i="7"/>
  <c r="K461" i="2"/>
  <c r="H74" i="7" s="1"/>
  <c r="H18" i="7"/>
  <c r="P465" i="2"/>
  <c r="M78" i="7" s="1"/>
  <c r="M22" i="7"/>
  <c r="R465" i="2"/>
  <c r="O78" i="7" s="1"/>
  <c r="O22" i="7"/>
  <c r="L456" i="2"/>
  <c r="I69" i="7" s="1"/>
  <c r="I13" i="7"/>
  <c r="T461" i="2"/>
  <c r="Q74" i="7" s="1"/>
  <c r="Q18" i="7"/>
  <c r="K458" i="2"/>
  <c r="H15" i="7"/>
  <c r="N466" i="2"/>
  <c r="K79" i="7" s="1"/>
  <c r="K23" i="7"/>
  <c r="Q458" i="2"/>
  <c r="N71" i="7" s="1"/>
  <c r="N15" i="7"/>
  <c r="K457" i="2"/>
  <c r="H70" i="7" s="1"/>
  <c r="H14" i="7"/>
  <c r="L463" i="2"/>
  <c r="I76" i="7" s="1"/>
  <c r="I20" i="7"/>
  <c r="R456" i="2"/>
  <c r="O69" i="7" s="1"/>
  <c r="O13" i="7"/>
  <c r="I465" i="2"/>
  <c r="F78" i="7" s="1"/>
  <c r="F22" i="7"/>
  <c r="T456" i="2"/>
  <c r="Q69" i="7" s="1"/>
  <c r="Q13" i="7"/>
  <c r="Q462" i="2"/>
  <c r="N75" i="7" s="1"/>
  <c r="N19" i="7"/>
  <c r="J465" i="2"/>
  <c r="G78" i="7" s="1"/>
  <c r="G22" i="7"/>
  <c r="K462" i="2"/>
  <c r="H75" i="7" s="1"/>
  <c r="H19" i="7"/>
  <c r="M456" i="2"/>
  <c r="J69" i="7" s="1"/>
  <c r="J13" i="7"/>
  <c r="I461" i="2"/>
  <c r="F74" i="7" s="1"/>
  <c r="F18" i="7"/>
  <c r="L466" i="2"/>
  <c r="I79" i="7" s="1"/>
  <c r="I23" i="7"/>
  <c r="I467" i="2"/>
  <c r="F80" i="7" s="1"/>
  <c r="F24" i="7"/>
  <c r="T463" i="2"/>
  <c r="Q76" i="7" s="1"/>
  <c r="Q20" i="7"/>
  <c r="P464" i="2"/>
  <c r="M21" i="7"/>
  <c r="R457" i="2"/>
  <c r="O70" i="7" s="1"/>
  <c r="O14" i="7"/>
  <c r="T467" i="2"/>
  <c r="Q80" i="7" s="1"/>
  <c r="Q24" i="7"/>
  <c r="M457" i="2"/>
  <c r="J70" i="7" s="1"/>
  <c r="J14" i="7"/>
  <c r="P467" i="2"/>
  <c r="M80" i="7" s="1"/>
  <c r="M24" i="7"/>
  <c r="K467" i="2"/>
  <c r="H80" i="7" s="1"/>
  <c r="H24" i="7"/>
  <c r="N465" i="2"/>
  <c r="K78" i="7" s="1"/>
  <c r="K22" i="7"/>
  <c r="T457" i="2"/>
  <c r="Q70" i="7" s="1"/>
  <c r="Q14" i="7"/>
  <c r="J19" i="7"/>
  <c r="P456" i="2"/>
  <c r="M69" i="7" s="1"/>
  <c r="M13" i="7"/>
  <c r="L467" i="2"/>
  <c r="I80" i="7" s="1"/>
  <c r="I24" i="7"/>
  <c r="P462" i="2"/>
  <c r="M75" i="7" s="1"/>
  <c r="M19" i="7"/>
  <c r="R466" i="2"/>
  <c r="O79" i="7" s="1"/>
  <c r="O23" i="7"/>
  <c r="I462" i="2"/>
  <c r="F75" i="7" s="1"/>
  <c r="F19" i="7"/>
  <c r="T462" i="2"/>
  <c r="Q75" i="7" s="1"/>
  <c r="Q19" i="7"/>
  <c r="Q467" i="2"/>
  <c r="N80" i="7" s="1"/>
  <c r="N24" i="7"/>
  <c r="J467" i="2"/>
  <c r="G80" i="7" s="1"/>
  <c r="G24" i="7"/>
  <c r="K456" i="2"/>
  <c r="H69" i="7" s="1"/>
  <c r="H13" i="7"/>
  <c r="O457" i="2"/>
  <c r="L70" i="7" s="1"/>
  <c r="L14" i="7"/>
  <c r="R461" i="2"/>
  <c r="O74" i="7" s="1"/>
  <c r="O18" i="7"/>
  <c r="P466" i="2"/>
  <c r="M79" i="7" s="1"/>
  <c r="M23" i="7"/>
  <c r="Q457" i="2"/>
  <c r="N70" i="7" s="1"/>
  <c r="N14" i="7"/>
  <c r="N457" i="2"/>
  <c r="K70" i="7" s="1"/>
  <c r="K14" i="7"/>
  <c r="P457" i="2"/>
  <c r="M70" i="7" s="1"/>
  <c r="M14" i="7"/>
  <c r="I457" i="2"/>
  <c r="F70" i="7" s="1"/>
  <c r="F14" i="7"/>
  <c r="K463" i="2"/>
  <c r="H76" i="7" s="1"/>
  <c r="H20" i="7"/>
  <c r="L462" i="2"/>
  <c r="I75" i="7" s="1"/>
  <c r="I19" i="7"/>
  <c r="T465" i="2"/>
  <c r="Q78" i="7" s="1"/>
  <c r="Q22" i="7"/>
  <c r="M465" i="2"/>
  <c r="J78" i="7" s="1"/>
  <c r="J462" i="2"/>
  <c r="G75" i="7" s="1"/>
  <c r="G19" i="7"/>
  <c r="L461" i="2"/>
  <c r="I74" i="7" s="1"/>
  <c r="I18" i="7"/>
  <c r="P463" i="2"/>
  <c r="M76" i="7" s="1"/>
  <c r="M20" i="7"/>
  <c r="R464" i="2"/>
  <c r="O21" i="7"/>
  <c r="I466" i="2"/>
  <c r="F79" i="7" s="1"/>
  <c r="F23" i="7"/>
  <c r="Q456" i="2"/>
  <c r="N69" i="7" s="1"/>
  <c r="N13" i="7"/>
  <c r="J466" i="2"/>
  <c r="G79" i="7" s="1"/>
  <c r="G23" i="7"/>
  <c r="K466" i="2"/>
  <c r="H79" i="7" s="1"/>
  <c r="H23" i="7"/>
  <c r="N461" i="2"/>
  <c r="K74" i="7" s="1"/>
  <c r="K18" i="7"/>
  <c r="O406" i="2"/>
  <c r="O409" i="2"/>
  <c r="O402" i="2"/>
  <c r="O400" i="2"/>
  <c r="O407" i="2"/>
  <c r="O408" i="2"/>
  <c r="O411" i="2"/>
  <c r="O405" i="2"/>
  <c r="O404" i="2"/>
  <c r="L17" i="7" s="1"/>
  <c r="L460" i="2"/>
  <c r="I73" i="7" s="1"/>
  <c r="L412" i="2"/>
  <c r="P460" i="2"/>
  <c r="M73" i="7" s="1"/>
  <c r="P412" i="2"/>
  <c r="V400" i="2"/>
  <c r="S13" i="7" s="1"/>
  <c r="U545" i="2"/>
  <c r="T460" i="2"/>
  <c r="Q73" i="7" s="1"/>
  <c r="T412" i="2"/>
  <c r="T473" i="2"/>
  <c r="J412" i="2"/>
  <c r="J460" i="2"/>
  <c r="G73" i="7" s="1"/>
  <c r="M460" i="2"/>
  <c r="J73" i="7" s="1"/>
  <c r="G462" i="2"/>
  <c r="D75" i="7" s="1"/>
  <c r="G463" i="2"/>
  <c r="D76" i="7" s="1"/>
  <c r="AE400" i="2"/>
  <c r="AE456" i="2" s="1"/>
  <c r="AE407" i="2"/>
  <c r="AE463" i="2" s="1"/>
  <c r="AE405" i="2"/>
  <c r="AE461" i="2" s="1"/>
  <c r="AE404" i="2"/>
  <c r="AE402" i="2"/>
  <c r="AE458" i="2" s="1"/>
  <c r="AE408" i="2"/>
  <c r="AE464" i="2" s="1"/>
  <c r="AE406" i="2"/>
  <c r="AE462" i="2" s="1"/>
  <c r="AE410" i="2"/>
  <c r="AE466" i="2" s="1"/>
  <c r="AE411" i="2"/>
  <c r="AE467" i="2" s="1"/>
  <c r="AE409" i="2"/>
  <c r="AE465" i="2" s="1"/>
  <c r="AE401" i="2"/>
  <c r="AE457" i="2" s="1"/>
  <c r="G461" i="2"/>
  <c r="D74" i="7" s="1"/>
  <c r="R460" i="2"/>
  <c r="O73" i="7" s="1"/>
  <c r="R412" i="2"/>
  <c r="G458" i="2"/>
  <c r="D71" i="7" s="1"/>
  <c r="I412" i="2"/>
  <c r="I460" i="2"/>
  <c r="F73" i="7" s="1"/>
  <c r="AF408" i="2"/>
  <c r="AF464" i="2" s="1"/>
  <c r="AF410" i="2"/>
  <c r="AF466" i="2" s="1"/>
  <c r="AF406" i="2"/>
  <c r="AF462" i="2" s="1"/>
  <c r="AF401" i="2"/>
  <c r="AF457" i="2" s="1"/>
  <c r="AF402" i="2"/>
  <c r="AF458" i="2" s="1"/>
  <c r="AF404" i="2"/>
  <c r="AF411" i="2"/>
  <c r="AF467" i="2" s="1"/>
  <c r="AF409" i="2"/>
  <c r="AF465" i="2" s="1"/>
  <c r="AF400" i="2"/>
  <c r="AF456" i="2" s="1"/>
  <c r="AF405" i="2"/>
  <c r="AF461" i="2" s="1"/>
  <c r="AF407" i="2"/>
  <c r="AF463" i="2" s="1"/>
  <c r="G460" i="2"/>
  <c r="D73" i="7" s="1"/>
  <c r="G412" i="2"/>
  <c r="G464" i="2"/>
  <c r="D77" i="7" s="1"/>
  <c r="A322" i="2"/>
  <c r="K460" i="2"/>
  <c r="H73" i="7" s="1"/>
  <c r="K412" i="2"/>
  <c r="G456" i="2"/>
  <c r="D69" i="7" s="1"/>
  <c r="Q473" i="2"/>
  <c r="G467" i="2"/>
  <c r="D80" i="7" s="1"/>
  <c r="S410" i="2"/>
  <c r="S401" i="2"/>
  <c r="S409" i="2"/>
  <c r="S404" i="2"/>
  <c r="P17" i="7" s="1"/>
  <c r="S407" i="2"/>
  <c r="S411" i="2"/>
  <c r="S406" i="2"/>
  <c r="S405" i="2"/>
  <c r="S402" i="2"/>
  <c r="S400" i="2"/>
  <c r="S408" i="2"/>
  <c r="Q460" i="2"/>
  <c r="N73" i="7" s="1"/>
  <c r="Q412" i="2"/>
  <c r="A317" i="2"/>
  <c r="H406" i="2"/>
  <c r="H407" i="2"/>
  <c r="H400" i="2"/>
  <c r="H409" i="2"/>
  <c r="H405" i="2"/>
  <c r="H404" i="2"/>
  <c r="E17" i="7" s="1"/>
  <c r="H408" i="2"/>
  <c r="H410" i="2"/>
  <c r="H411" i="2"/>
  <c r="H401" i="2"/>
  <c r="H402" i="2"/>
  <c r="G466" i="2"/>
  <c r="D79" i="7" s="1"/>
  <c r="P553" i="2"/>
  <c r="R547" i="2"/>
  <c r="G465" i="2"/>
  <c r="D78" i="7" s="1"/>
  <c r="N412" i="2"/>
  <c r="N460" i="2"/>
  <c r="K73" i="7" s="1"/>
  <c r="G457" i="2"/>
  <c r="D70" i="7" s="1"/>
  <c r="U402" i="2"/>
  <c r="U408" i="2"/>
  <c r="U411" i="2"/>
  <c r="U400" i="2"/>
  <c r="U409" i="2"/>
  <c r="U401" i="2"/>
  <c r="U407" i="2"/>
  <c r="U405" i="2"/>
  <c r="U406" i="2"/>
  <c r="U410" i="2"/>
  <c r="U404" i="2"/>
  <c r="R17" i="7" s="1"/>
  <c r="M412" i="2" l="1"/>
  <c r="J15" i="7"/>
  <c r="L23" i="7"/>
  <c r="L473" i="2"/>
  <c r="L488" i="2" s="1"/>
  <c r="I101" i="7" s="1"/>
  <c r="P473" i="2"/>
  <c r="R473" i="2"/>
  <c r="R488" i="2" s="1"/>
  <c r="O101" i="7" s="1"/>
  <c r="J473" i="2"/>
  <c r="G71" i="7"/>
  <c r="T488" i="2"/>
  <c r="Q101" i="7" s="1"/>
  <c r="Q86" i="7"/>
  <c r="K473" i="2"/>
  <c r="H71" i="7"/>
  <c r="T494" i="2"/>
  <c r="Q107" i="7" s="1"/>
  <c r="Q77" i="7"/>
  <c r="I86" i="7"/>
  <c r="Q488" i="2"/>
  <c r="N101" i="7" s="1"/>
  <c r="N86" i="7"/>
  <c r="M473" i="2"/>
  <c r="J71" i="7"/>
  <c r="I473" i="2"/>
  <c r="F71" i="7"/>
  <c r="I494" i="2"/>
  <c r="F107" i="7" s="1"/>
  <c r="F77" i="7"/>
  <c r="K494" i="2"/>
  <c r="H107" i="7" s="1"/>
  <c r="H77" i="7"/>
  <c r="N473" i="2"/>
  <c r="K71" i="7"/>
  <c r="L494" i="2"/>
  <c r="I107" i="7" s="1"/>
  <c r="I77" i="7"/>
  <c r="J494" i="2"/>
  <c r="G107" i="7" s="1"/>
  <c r="G77" i="7"/>
  <c r="Q494" i="2"/>
  <c r="N107" i="7" s="1"/>
  <c r="N77" i="7"/>
  <c r="R494" i="2"/>
  <c r="O107" i="7" s="1"/>
  <c r="O77" i="7"/>
  <c r="N494" i="2"/>
  <c r="K107" i="7" s="1"/>
  <c r="K77" i="7"/>
  <c r="P488" i="2"/>
  <c r="M101" i="7" s="1"/>
  <c r="M86" i="7"/>
  <c r="O460" i="2"/>
  <c r="L73" i="7" s="1"/>
  <c r="P494" i="2"/>
  <c r="M107" i="7" s="1"/>
  <c r="M77" i="7"/>
  <c r="M494" i="2"/>
  <c r="J107" i="7" s="1"/>
  <c r="J77" i="7"/>
  <c r="S461" i="2"/>
  <c r="P74" i="7" s="1"/>
  <c r="P18" i="7"/>
  <c r="O456" i="2"/>
  <c r="L69" i="7" s="1"/>
  <c r="L13" i="7"/>
  <c r="N413" i="2"/>
  <c r="K25" i="7"/>
  <c r="H461" i="2"/>
  <c r="E18" i="7"/>
  <c r="S463" i="2"/>
  <c r="P20" i="7"/>
  <c r="G413" i="2"/>
  <c r="D25" i="7"/>
  <c r="I413" i="2"/>
  <c r="F25" i="7"/>
  <c r="O458" i="2"/>
  <c r="L15" i="7"/>
  <c r="O463" i="2"/>
  <c r="L76" i="7" s="1"/>
  <c r="L20" i="7"/>
  <c r="S467" i="2"/>
  <c r="P80" i="7" s="1"/>
  <c r="P24" i="7"/>
  <c r="T413" i="2"/>
  <c r="Q25" i="7"/>
  <c r="H465" i="2"/>
  <c r="E78" i="7" s="1"/>
  <c r="E22" i="7"/>
  <c r="U466" i="2"/>
  <c r="R79" i="7" s="1"/>
  <c r="R23" i="7"/>
  <c r="O462" i="2"/>
  <c r="L19" i="7"/>
  <c r="J413" i="2"/>
  <c r="G25" i="7"/>
  <c r="R413" i="2"/>
  <c r="O25" i="7"/>
  <c r="U461" i="2"/>
  <c r="R74" i="7" s="1"/>
  <c r="R18" i="7"/>
  <c r="H462" i="2"/>
  <c r="E75" i="7" s="1"/>
  <c r="E19" i="7"/>
  <c r="S466" i="2"/>
  <c r="P79" i="7" s="1"/>
  <c r="P23" i="7"/>
  <c r="P413" i="2"/>
  <c r="M25" i="7"/>
  <c r="O464" i="2"/>
  <c r="L21" i="7"/>
  <c r="S465" i="2"/>
  <c r="P78" i="7" s="1"/>
  <c r="P22" i="7"/>
  <c r="U462" i="2"/>
  <c r="R75" i="7" s="1"/>
  <c r="R19" i="7"/>
  <c r="U457" i="2"/>
  <c r="R70" i="7" s="1"/>
  <c r="R14" i="7"/>
  <c r="Q413" i="2"/>
  <c r="N25" i="7"/>
  <c r="L413" i="2"/>
  <c r="I25" i="7"/>
  <c r="U458" i="2"/>
  <c r="R71" i="7" s="1"/>
  <c r="R15" i="7"/>
  <c r="H466" i="2"/>
  <c r="E23" i="7"/>
  <c r="H463" i="2"/>
  <c r="E76" i="7" s="1"/>
  <c r="E20" i="7"/>
  <c r="S457" i="2"/>
  <c r="P70" i="7" s="1"/>
  <c r="P14" i="7"/>
  <c r="U463" i="2"/>
  <c r="R20" i="7"/>
  <c r="U465" i="2"/>
  <c r="R78" i="7" s="1"/>
  <c r="R22" i="7"/>
  <c r="O465" i="2"/>
  <c r="L22" i="7"/>
  <c r="U456" i="2"/>
  <c r="R69" i="7" s="1"/>
  <c r="R13" i="7"/>
  <c r="H458" i="2"/>
  <c r="E15" i="7"/>
  <c r="S464" i="2"/>
  <c r="P21" i="7"/>
  <c r="S462" i="2"/>
  <c r="P75" i="7" s="1"/>
  <c r="P19" i="7"/>
  <c r="H456" i="2"/>
  <c r="E69" i="7" s="1"/>
  <c r="E13" i="7"/>
  <c r="U467" i="2"/>
  <c r="R80" i="7" s="1"/>
  <c r="R24" i="7"/>
  <c r="H457" i="2"/>
  <c r="E70" i="7" s="1"/>
  <c r="E14" i="7"/>
  <c r="S456" i="2"/>
  <c r="P69" i="7" s="1"/>
  <c r="P13" i="7"/>
  <c r="M413" i="2"/>
  <c r="J25" i="7"/>
  <c r="O461" i="2"/>
  <c r="L74" i="7" s="1"/>
  <c r="L18" i="7"/>
  <c r="H464" i="2"/>
  <c r="E21" i="7"/>
  <c r="U464" i="2"/>
  <c r="R21" i="7"/>
  <c r="H467" i="2"/>
  <c r="E80" i="7" s="1"/>
  <c r="E24" i="7"/>
  <c r="S458" i="2"/>
  <c r="P15" i="7"/>
  <c r="K413" i="2"/>
  <c r="H25" i="7"/>
  <c r="O467" i="2"/>
  <c r="L24" i="7"/>
  <c r="O412" i="2"/>
  <c r="F411" i="2"/>
  <c r="C24" i="7" s="1"/>
  <c r="F404" i="2"/>
  <c r="C17" i="7" s="1"/>
  <c r="Q468" i="2"/>
  <c r="AF412" i="2"/>
  <c r="AF413" i="2" s="1"/>
  <c r="AF460" i="2"/>
  <c r="F402" i="2"/>
  <c r="C15" i="7" s="1"/>
  <c r="AE476" i="2"/>
  <c r="AE491" i="2" s="1"/>
  <c r="AF473" i="2"/>
  <c r="AF488" i="2" s="1"/>
  <c r="AE478" i="2"/>
  <c r="AE493" i="2" s="1"/>
  <c r="J468" i="2"/>
  <c r="H460" i="2"/>
  <c r="E73" i="7" s="1"/>
  <c r="H412" i="2"/>
  <c r="G468" i="2"/>
  <c r="AF472" i="2"/>
  <c r="AF487" i="2" s="1"/>
  <c r="AE471" i="2"/>
  <c r="AE486" i="2" s="1"/>
  <c r="AF477" i="2"/>
  <c r="AF492" i="2" s="1"/>
  <c r="U460" i="2"/>
  <c r="R73" i="7" s="1"/>
  <c r="U412" i="2"/>
  <c r="F400" i="2"/>
  <c r="C13" i="7" s="1"/>
  <c r="AF481" i="2"/>
  <c r="AF496" i="2" s="1"/>
  <c r="R468" i="2"/>
  <c r="AF479" i="2"/>
  <c r="AF494" i="2" s="1"/>
  <c r="F405" i="2"/>
  <c r="C18" i="7" s="1"/>
  <c r="N468" i="2"/>
  <c r="I468" i="2"/>
  <c r="AE472" i="2"/>
  <c r="AE487" i="2" s="1"/>
  <c r="AE480" i="2"/>
  <c r="AE495" i="2" s="1"/>
  <c r="F406" i="2"/>
  <c r="C19" i="7" s="1"/>
  <c r="F408" i="2"/>
  <c r="C21" i="7" s="1"/>
  <c r="AE482" i="2"/>
  <c r="AE497" i="2" s="1"/>
  <c r="T468" i="2"/>
  <c r="F410" i="2"/>
  <c r="C23" i="7" s="1"/>
  <c r="K468" i="2"/>
  <c r="G494" i="2"/>
  <c r="D107" i="7" s="1"/>
  <c r="AF478" i="2"/>
  <c r="AF493" i="2" s="1"/>
  <c r="AE481" i="2"/>
  <c r="AE496" i="2" s="1"/>
  <c r="S460" i="2"/>
  <c r="P73" i="7" s="1"/>
  <c r="S412" i="2"/>
  <c r="AF476" i="2"/>
  <c r="AF491" i="2" s="1"/>
  <c r="AE477" i="2"/>
  <c r="AE492" i="2" s="1"/>
  <c r="F409" i="2"/>
  <c r="C22" i="7" s="1"/>
  <c r="U547" i="2"/>
  <c r="R553" i="2"/>
  <c r="AF471" i="2"/>
  <c r="AF486" i="2" s="1"/>
  <c r="AE479" i="2"/>
  <c r="AE494" i="2" s="1"/>
  <c r="M468" i="2"/>
  <c r="P468" i="2"/>
  <c r="AF480" i="2"/>
  <c r="AF495" i="2" s="1"/>
  <c r="AE473" i="2"/>
  <c r="AE488" i="2" s="1"/>
  <c r="F407" i="2"/>
  <c r="C20" i="7" s="1"/>
  <c r="V456" i="2"/>
  <c r="AF482" i="2"/>
  <c r="AF497" i="2" s="1"/>
  <c r="G473" i="2"/>
  <c r="D86" i="7" s="1"/>
  <c r="AE460" i="2"/>
  <c r="AE412" i="2"/>
  <c r="AE413" i="2" s="1"/>
  <c r="L468" i="2"/>
  <c r="O86" i="7" l="1"/>
  <c r="F461" i="2"/>
  <c r="C74" i="7" s="1"/>
  <c r="V476" i="2"/>
  <c r="K480" i="2"/>
  <c r="H93" i="7" s="1"/>
  <c r="U473" i="2"/>
  <c r="U488" i="2" s="1"/>
  <c r="R101" i="7" s="1"/>
  <c r="K495" i="2"/>
  <c r="H108" i="7" s="1"/>
  <c r="M488" i="2"/>
  <c r="J101" i="7" s="1"/>
  <c r="J86" i="7"/>
  <c r="G476" i="2"/>
  <c r="V491" i="2"/>
  <c r="S104" i="7" s="1"/>
  <c r="S89" i="7"/>
  <c r="R469" i="2"/>
  <c r="O82" i="7" s="1"/>
  <c r="O81" i="7"/>
  <c r="J481" i="2"/>
  <c r="E79" i="7"/>
  <c r="P469" i="2"/>
  <c r="M82" i="7" s="1"/>
  <c r="M81" i="7"/>
  <c r="U476" i="2"/>
  <c r="M469" i="2"/>
  <c r="J82" i="7" s="1"/>
  <c r="J81" i="7"/>
  <c r="O473" i="2"/>
  <c r="L71" i="7"/>
  <c r="F458" i="2"/>
  <c r="C71" i="7" s="1"/>
  <c r="E71" i="7"/>
  <c r="V477" i="2"/>
  <c r="L75" i="7"/>
  <c r="R476" i="2"/>
  <c r="I478" i="2"/>
  <c r="P76" i="7"/>
  <c r="J469" i="2"/>
  <c r="G82" i="7" s="1"/>
  <c r="G81" i="7"/>
  <c r="L476" i="2"/>
  <c r="N488" i="2"/>
  <c r="K101" i="7" s="1"/>
  <c r="K86" i="7"/>
  <c r="I482" i="2"/>
  <c r="L80" i="7"/>
  <c r="O494" i="2"/>
  <c r="L107" i="7" s="1"/>
  <c r="L77" i="7"/>
  <c r="N476" i="2"/>
  <c r="S473" i="2"/>
  <c r="P71" i="7"/>
  <c r="F465" i="2"/>
  <c r="C78" i="7" s="1"/>
  <c r="L78" i="7"/>
  <c r="L469" i="2"/>
  <c r="I82" i="7" s="1"/>
  <c r="I81" i="7"/>
  <c r="K469" i="2"/>
  <c r="H82" i="7" s="1"/>
  <c r="H81" i="7"/>
  <c r="I469" i="2"/>
  <c r="F82" i="7" s="1"/>
  <c r="F81" i="7"/>
  <c r="V478" i="2"/>
  <c r="S478" i="2"/>
  <c r="S476" i="2"/>
  <c r="H476" i="2"/>
  <c r="Q469" i="2"/>
  <c r="N82" i="7" s="1"/>
  <c r="N81" i="7"/>
  <c r="M476" i="2"/>
  <c r="E74" i="7"/>
  <c r="K488" i="2"/>
  <c r="H101" i="7" s="1"/>
  <c r="H86" i="7"/>
  <c r="S494" i="2"/>
  <c r="P107" i="7" s="1"/>
  <c r="P77" i="7"/>
  <c r="T476" i="2"/>
  <c r="R86" i="7"/>
  <c r="P476" i="2"/>
  <c r="N469" i="2"/>
  <c r="K82" i="7" s="1"/>
  <c r="K81" i="7"/>
  <c r="J478" i="2"/>
  <c r="U494" i="2"/>
  <c r="R107" i="7" s="1"/>
  <c r="R77" i="7"/>
  <c r="U478" i="2"/>
  <c r="R76" i="7"/>
  <c r="Q480" i="2"/>
  <c r="T469" i="2"/>
  <c r="Q82" i="7" s="1"/>
  <c r="Q81" i="7"/>
  <c r="G469" i="2"/>
  <c r="D82" i="7" s="1"/>
  <c r="D81" i="7"/>
  <c r="O478" i="2"/>
  <c r="F456" i="2"/>
  <c r="C69" i="7" s="1"/>
  <c r="S69" i="7"/>
  <c r="N478" i="2"/>
  <c r="Q478" i="2"/>
  <c r="I476" i="2"/>
  <c r="H494" i="2"/>
  <c r="E107" i="7" s="1"/>
  <c r="E77" i="7"/>
  <c r="I488" i="2"/>
  <c r="F101" i="7" s="1"/>
  <c r="F86" i="7"/>
  <c r="J488" i="2"/>
  <c r="G101" i="7" s="1"/>
  <c r="G86" i="7"/>
  <c r="S481" i="2"/>
  <c r="J480" i="2"/>
  <c r="O482" i="2"/>
  <c r="P482" i="2"/>
  <c r="U480" i="2"/>
  <c r="I477" i="2"/>
  <c r="T480" i="2"/>
  <c r="M480" i="2"/>
  <c r="R481" i="2"/>
  <c r="U482" i="2"/>
  <c r="R478" i="2"/>
  <c r="G478" i="2"/>
  <c r="K478" i="2"/>
  <c r="F463" i="2"/>
  <c r="C76" i="7" s="1"/>
  <c r="J476" i="2"/>
  <c r="M478" i="2"/>
  <c r="O476" i="2"/>
  <c r="P478" i="2"/>
  <c r="G477" i="2"/>
  <c r="O480" i="2"/>
  <c r="N480" i="2"/>
  <c r="T478" i="2"/>
  <c r="P480" i="2"/>
  <c r="K476" i="2"/>
  <c r="Q476" i="2"/>
  <c r="R480" i="2"/>
  <c r="L478" i="2"/>
  <c r="M329" i="2"/>
  <c r="J26" i="7"/>
  <c r="O477" i="2"/>
  <c r="P481" i="2"/>
  <c r="F464" i="2"/>
  <c r="C77" i="7" s="1"/>
  <c r="L481" i="2"/>
  <c r="U481" i="2"/>
  <c r="N477" i="2"/>
  <c r="H481" i="2"/>
  <c r="Q482" i="2"/>
  <c r="K329" i="2"/>
  <c r="H26" i="7"/>
  <c r="P329" i="2"/>
  <c r="M26" i="7"/>
  <c r="G329" i="2"/>
  <c r="D26" i="7"/>
  <c r="H482" i="2"/>
  <c r="S482" i="2"/>
  <c r="S413" i="2"/>
  <c r="P25" i="7"/>
  <c r="O468" i="2"/>
  <c r="M477" i="2"/>
  <c r="K482" i="2"/>
  <c r="L329" i="2"/>
  <c r="I26" i="7"/>
  <c r="V482" i="2"/>
  <c r="M481" i="2"/>
  <c r="M482" i="2"/>
  <c r="H413" i="2"/>
  <c r="E25" i="7"/>
  <c r="Q481" i="2"/>
  <c r="I481" i="2"/>
  <c r="Q329" i="2"/>
  <c r="N26" i="7"/>
  <c r="T329" i="2"/>
  <c r="Q26" i="7"/>
  <c r="G482" i="2"/>
  <c r="F467" i="2"/>
  <c r="C80" i="7" s="1"/>
  <c r="K481" i="2"/>
  <c r="S480" i="2"/>
  <c r="F466" i="2"/>
  <c r="C79" i="7" s="1"/>
  <c r="K477" i="2"/>
  <c r="H478" i="2"/>
  <c r="N481" i="2"/>
  <c r="L480" i="2"/>
  <c r="R482" i="2"/>
  <c r="O413" i="2"/>
  <c r="L25" i="7"/>
  <c r="N329" i="2"/>
  <c r="K26" i="7"/>
  <c r="I329" i="2"/>
  <c r="F26" i="7"/>
  <c r="J482" i="2"/>
  <c r="H473" i="2"/>
  <c r="V480" i="2"/>
  <c r="J477" i="2"/>
  <c r="S477" i="2"/>
  <c r="L477" i="2"/>
  <c r="I480" i="2"/>
  <c r="T482" i="2"/>
  <c r="R329" i="2"/>
  <c r="O26" i="7"/>
  <c r="O481" i="2"/>
  <c r="V481" i="2"/>
  <c r="T481" i="2"/>
  <c r="Q477" i="2"/>
  <c r="G480" i="2"/>
  <c r="H477" i="2"/>
  <c r="H480" i="2"/>
  <c r="P477" i="2"/>
  <c r="R477" i="2"/>
  <c r="L482" i="2"/>
  <c r="G481" i="2"/>
  <c r="D94" i="7" s="1"/>
  <c r="F462" i="2"/>
  <c r="C75" i="7" s="1"/>
  <c r="T477" i="2"/>
  <c r="U477" i="2"/>
  <c r="U413" i="2"/>
  <c r="R25" i="7"/>
  <c r="N482" i="2"/>
  <c r="J329" i="2"/>
  <c r="G26" i="7"/>
  <c r="K471" i="2"/>
  <c r="P471" i="2"/>
  <c r="Q471" i="2"/>
  <c r="G471" i="2"/>
  <c r="J475" i="2"/>
  <c r="G88" i="7" s="1"/>
  <c r="N475" i="2"/>
  <c r="K88" i="7" s="1"/>
  <c r="T471" i="2"/>
  <c r="V475" i="2"/>
  <c r="S88" i="7" s="1"/>
  <c r="U471" i="2"/>
  <c r="F412" i="2"/>
  <c r="J471" i="2"/>
  <c r="AF475" i="2"/>
  <c r="AF483" i="2" s="1"/>
  <c r="AF484" i="2" s="1"/>
  <c r="AF468" i="2"/>
  <c r="AF469" i="2" s="1"/>
  <c r="AF490" i="2"/>
  <c r="AF498" i="2" s="1"/>
  <c r="AF499" i="2" s="1"/>
  <c r="U475" i="2"/>
  <c r="R88" i="7" s="1"/>
  <c r="U468" i="2"/>
  <c r="AE468" i="2"/>
  <c r="AE469" i="2" s="1"/>
  <c r="AE475" i="2"/>
  <c r="AE483" i="2" s="1"/>
  <c r="AE484" i="2" s="1"/>
  <c r="P475" i="2"/>
  <c r="M88" i="7" s="1"/>
  <c r="K475" i="2"/>
  <c r="H88" i="7" s="1"/>
  <c r="G475" i="2"/>
  <c r="D88" i="7" s="1"/>
  <c r="Q475" i="2"/>
  <c r="N88" i="7" s="1"/>
  <c r="R475" i="2"/>
  <c r="O88" i="7" s="1"/>
  <c r="F460" i="2"/>
  <c r="M475" i="2"/>
  <c r="J88" i="7" s="1"/>
  <c r="O475" i="2"/>
  <c r="L88" i="7" s="1"/>
  <c r="G488" i="2"/>
  <c r="D101" i="7" s="1"/>
  <c r="V471" i="2"/>
  <c r="M471" i="2"/>
  <c r="L475" i="2"/>
  <c r="I88" i="7" s="1"/>
  <c r="H471" i="2"/>
  <c r="O471" i="2"/>
  <c r="I471" i="2"/>
  <c r="V401" i="2"/>
  <c r="S14" i="7" s="1"/>
  <c r="R554" i="2"/>
  <c r="S475" i="2"/>
  <c r="P88" i="7" s="1"/>
  <c r="S468" i="2"/>
  <c r="S471" i="2"/>
  <c r="H475" i="2"/>
  <c r="E88" i="7" s="1"/>
  <c r="H468" i="2"/>
  <c r="U553" i="2"/>
  <c r="T475" i="2"/>
  <c r="Q88" i="7" s="1"/>
  <c r="R471" i="2"/>
  <c r="L471" i="2"/>
  <c r="I475" i="2"/>
  <c r="F88" i="7" s="1"/>
  <c r="N471" i="2"/>
  <c r="F476" i="2" l="1"/>
  <c r="C89" i="7" s="1"/>
  <c r="G496" i="2"/>
  <c r="D109" i="7" s="1"/>
  <c r="J490" i="2"/>
  <c r="G103" i="7" s="1"/>
  <c r="G495" i="2"/>
  <c r="D93" i="7"/>
  <c r="J497" i="2"/>
  <c r="G110" i="7" s="1"/>
  <c r="G95" i="7"/>
  <c r="K496" i="2"/>
  <c r="H109" i="7" s="1"/>
  <c r="H94" i="7"/>
  <c r="U497" i="2"/>
  <c r="R110" i="7" s="1"/>
  <c r="R95" i="7"/>
  <c r="U493" i="2"/>
  <c r="R106" i="7" s="1"/>
  <c r="R91" i="7"/>
  <c r="K491" i="2"/>
  <c r="H89" i="7"/>
  <c r="S486" i="2"/>
  <c r="P99" i="7" s="1"/>
  <c r="P84" i="7"/>
  <c r="Q492" i="2"/>
  <c r="N105" i="7" s="1"/>
  <c r="N90" i="7"/>
  <c r="Q497" i="2"/>
  <c r="N110" i="7" s="1"/>
  <c r="N95" i="7"/>
  <c r="P495" i="2"/>
  <c r="M108" i="7" s="1"/>
  <c r="M93" i="7"/>
  <c r="R496" i="2"/>
  <c r="O109" i="7" s="1"/>
  <c r="O94" i="7"/>
  <c r="M491" i="2"/>
  <c r="J104" i="7" s="1"/>
  <c r="J89" i="7"/>
  <c r="I493" i="2"/>
  <c r="F106" i="7" s="1"/>
  <c r="F91" i="7"/>
  <c r="J496" i="2"/>
  <c r="G109" i="7" s="1"/>
  <c r="G94" i="7"/>
  <c r="V545" i="2"/>
  <c r="F545" i="2" s="1"/>
  <c r="S84" i="7"/>
  <c r="L491" i="2"/>
  <c r="I104" i="7" s="1"/>
  <c r="I89" i="7"/>
  <c r="P486" i="2"/>
  <c r="M99" i="7" s="1"/>
  <c r="M84" i="7"/>
  <c r="M496" i="2"/>
  <c r="J109" i="7" s="1"/>
  <c r="J94" i="7"/>
  <c r="Q495" i="2"/>
  <c r="N108" i="7" s="1"/>
  <c r="N93" i="7"/>
  <c r="S469" i="2"/>
  <c r="P82" i="7" s="1"/>
  <c r="P81" i="7"/>
  <c r="F494" i="2"/>
  <c r="C107" i="7" s="1"/>
  <c r="N497" i="2"/>
  <c r="K110" i="7" s="1"/>
  <c r="K95" i="7"/>
  <c r="T496" i="2"/>
  <c r="Q109" i="7" s="1"/>
  <c r="Q94" i="7"/>
  <c r="G497" i="2"/>
  <c r="D110" i="7" s="1"/>
  <c r="D95" i="7"/>
  <c r="K497" i="2"/>
  <c r="H110" i="7" s="1"/>
  <c r="H95" i="7"/>
  <c r="H496" i="2"/>
  <c r="E109" i="7" s="1"/>
  <c r="E94" i="7"/>
  <c r="T493" i="2"/>
  <c r="Q106" i="7" s="1"/>
  <c r="Q91" i="7"/>
  <c r="M495" i="2"/>
  <c r="J108" i="7" s="1"/>
  <c r="J93" i="7"/>
  <c r="I491" i="2"/>
  <c r="F104" i="7" s="1"/>
  <c r="F89" i="7"/>
  <c r="R491" i="2"/>
  <c r="O104" i="7" s="1"/>
  <c r="O89" i="7"/>
  <c r="V497" i="2"/>
  <c r="S110" i="7" s="1"/>
  <c r="S95" i="7"/>
  <c r="Q491" i="2"/>
  <c r="N104" i="7" s="1"/>
  <c r="N89" i="7"/>
  <c r="R493" i="2"/>
  <c r="O106" i="7" s="1"/>
  <c r="O91" i="7"/>
  <c r="J486" i="2"/>
  <c r="G99" i="7" s="1"/>
  <c r="G84" i="7"/>
  <c r="V496" i="2"/>
  <c r="S109" i="7" s="1"/>
  <c r="S94" i="7"/>
  <c r="M492" i="2"/>
  <c r="J105" i="7" s="1"/>
  <c r="J90" i="7"/>
  <c r="N492" i="2"/>
  <c r="K105" i="7" s="1"/>
  <c r="K90" i="7"/>
  <c r="N495" i="2"/>
  <c r="K108" i="7" s="1"/>
  <c r="K93" i="7"/>
  <c r="T495" i="2"/>
  <c r="Q108" i="7" s="1"/>
  <c r="Q93" i="7"/>
  <c r="Q493" i="2"/>
  <c r="N106" i="7" s="1"/>
  <c r="N91" i="7"/>
  <c r="J493" i="2"/>
  <c r="G106" i="7" s="1"/>
  <c r="G91" i="7"/>
  <c r="S488" i="2"/>
  <c r="P101" i="7" s="1"/>
  <c r="P86" i="7"/>
  <c r="K492" i="2"/>
  <c r="H105" i="7" s="1"/>
  <c r="H90" i="7"/>
  <c r="O496" i="2"/>
  <c r="L109" i="7" s="1"/>
  <c r="L94" i="7"/>
  <c r="O469" i="2"/>
  <c r="L82" i="7" s="1"/>
  <c r="L81" i="7"/>
  <c r="U496" i="2"/>
  <c r="R109" i="7" s="1"/>
  <c r="R94" i="7"/>
  <c r="O495" i="2"/>
  <c r="L108" i="7" s="1"/>
  <c r="L93" i="7"/>
  <c r="I492" i="2"/>
  <c r="F105" i="7" s="1"/>
  <c r="F90" i="7"/>
  <c r="N493" i="2"/>
  <c r="K106" i="7" s="1"/>
  <c r="K91" i="7"/>
  <c r="H491" i="2"/>
  <c r="E104" i="7" s="1"/>
  <c r="E89" i="7"/>
  <c r="N491" i="2"/>
  <c r="K104" i="7" s="1"/>
  <c r="K89" i="7"/>
  <c r="V492" i="2"/>
  <c r="S105" i="7" s="1"/>
  <c r="S90" i="7"/>
  <c r="P492" i="2"/>
  <c r="M105" i="7" s="1"/>
  <c r="M90" i="7"/>
  <c r="M497" i="2"/>
  <c r="J95" i="7"/>
  <c r="L493" i="2"/>
  <c r="I106" i="7" s="1"/>
  <c r="I91" i="7"/>
  <c r="K493" i="2"/>
  <c r="H106" i="7" s="1"/>
  <c r="H91" i="7"/>
  <c r="U491" i="2"/>
  <c r="R104" i="7" s="1"/>
  <c r="R89" i="7"/>
  <c r="H495" i="2"/>
  <c r="E108" i="7" s="1"/>
  <c r="E93" i="7"/>
  <c r="R495" i="2"/>
  <c r="O108" i="7" s="1"/>
  <c r="O93" i="7"/>
  <c r="H469" i="2"/>
  <c r="E82" i="7" s="1"/>
  <c r="E81" i="7"/>
  <c r="H492" i="2"/>
  <c r="E105" i="7" s="1"/>
  <c r="E90" i="7"/>
  <c r="S495" i="2"/>
  <c r="P108" i="7" s="1"/>
  <c r="P93" i="7"/>
  <c r="I486" i="2"/>
  <c r="F99" i="7" s="1"/>
  <c r="F84" i="7"/>
  <c r="T492" i="2"/>
  <c r="Q105" i="7" s="1"/>
  <c r="Q90" i="7"/>
  <c r="P493" i="2"/>
  <c r="M106" i="7" s="1"/>
  <c r="M91" i="7"/>
  <c r="P497" i="2"/>
  <c r="M110" i="7" s="1"/>
  <c r="M95" i="7"/>
  <c r="P491" i="2"/>
  <c r="M104" i="7" s="1"/>
  <c r="M89" i="7"/>
  <c r="S493" i="2"/>
  <c r="P106" i="7" s="1"/>
  <c r="P91" i="7"/>
  <c r="G491" i="2"/>
  <c r="D104" i="7" s="1"/>
  <c r="D89" i="7"/>
  <c r="V493" i="2"/>
  <c r="S106" i="7" s="1"/>
  <c r="S91" i="7"/>
  <c r="J492" i="2"/>
  <c r="G105" i="7" s="1"/>
  <c r="G90" i="7"/>
  <c r="V495" i="2"/>
  <c r="S108" i="7" s="1"/>
  <c r="S93" i="7"/>
  <c r="K486" i="2"/>
  <c r="H99" i="7" s="1"/>
  <c r="H84" i="7"/>
  <c r="U492" i="2"/>
  <c r="R105" i="7" s="1"/>
  <c r="R90" i="7"/>
  <c r="L496" i="2"/>
  <c r="I109" i="7" s="1"/>
  <c r="I94" i="7"/>
  <c r="G492" i="2"/>
  <c r="D105" i="7" s="1"/>
  <c r="D90" i="7"/>
  <c r="U495" i="2"/>
  <c r="R108" i="7" s="1"/>
  <c r="R93" i="7"/>
  <c r="S491" i="2"/>
  <c r="P104" i="7" s="1"/>
  <c r="P89" i="7"/>
  <c r="N486" i="2"/>
  <c r="K99" i="7" s="1"/>
  <c r="K84" i="7"/>
  <c r="T497" i="2"/>
  <c r="Q110" i="7" s="1"/>
  <c r="Q95" i="7"/>
  <c r="R497" i="2"/>
  <c r="O110" i="7" s="1"/>
  <c r="O95" i="7"/>
  <c r="I496" i="2"/>
  <c r="F109" i="7" s="1"/>
  <c r="F94" i="7"/>
  <c r="S497" i="2"/>
  <c r="P110" i="7" s="1"/>
  <c r="P95" i="7"/>
  <c r="P496" i="2"/>
  <c r="M109" i="7" s="1"/>
  <c r="M94" i="7"/>
  <c r="O491" i="2"/>
  <c r="L104" i="7" s="1"/>
  <c r="L89" i="7"/>
  <c r="O497" i="2"/>
  <c r="L110" i="7" s="1"/>
  <c r="L95" i="7"/>
  <c r="O493" i="2"/>
  <c r="L106" i="7" s="1"/>
  <c r="L91" i="7"/>
  <c r="L486" i="2"/>
  <c r="I99" i="7" s="1"/>
  <c r="I84" i="7"/>
  <c r="H486" i="2"/>
  <c r="E99" i="7" s="1"/>
  <c r="E84" i="7"/>
  <c r="I495" i="2"/>
  <c r="F108" i="7" s="1"/>
  <c r="F93" i="7"/>
  <c r="L495" i="2"/>
  <c r="I108" i="7" s="1"/>
  <c r="I93" i="7"/>
  <c r="Q496" i="2"/>
  <c r="N109" i="7" s="1"/>
  <c r="N94" i="7"/>
  <c r="H497" i="2"/>
  <c r="E110" i="7" s="1"/>
  <c r="E95" i="7"/>
  <c r="O492" i="2"/>
  <c r="L105" i="7" s="1"/>
  <c r="L90" i="7"/>
  <c r="M493" i="2"/>
  <c r="J106" i="7" s="1"/>
  <c r="J91" i="7"/>
  <c r="J495" i="2"/>
  <c r="G108" i="7" s="1"/>
  <c r="G93" i="7"/>
  <c r="I497" i="2"/>
  <c r="F110" i="7" s="1"/>
  <c r="F95" i="7"/>
  <c r="O488" i="2"/>
  <c r="L101" i="7" s="1"/>
  <c r="L86" i="7"/>
  <c r="Q486" i="2"/>
  <c r="N99" i="7" s="1"/>
  <c r="N84" i="7"/>
  <c r="H488" i="2"/>
  <c r="E101" i="7" s="1"/>
  <c r="E86" i="7"/>
  <c r="U486" i="2"/>
  <c r="R99" i="7" s="1"/>
  <c r="R84" i="7"/>
  <c r="O486" i="2"/>
  <c r="L99" i="7" s="1"/>
  <c r="L84" i="7"/>
  <c r="T486" i="2"/>
  <c r="Q99" i="7" s="1"/>
  <c r="Q84" i="7"/>
  <c r="R486" i="2"/>
  <c r="O99" i="7" s="1"/>
  <c r="O84" i="7"/>
  <c r="U469" i="2"/>
  <c r="R82" i="7" s="1"/>
  <c r="R81" i="7"/>
  <c r="L497" i="2"/>
  <c r="I110" i="7" s="1"/>
  <c r="I95" i="7"/>
  <c r="L492" i="2"/>
  <c r="I105" i="7" s="1"/>
  <c r="I90" i="7"/>
  <c r="N496" i="2"/>
  <c r="K109" i="7" s="1"/>
  <c r="K94" i="7"/>
  <c r="J491" i="2"/>
  <c r="G104" i="7" s="1"/>
  <c r="G89" i="7"/>
  <c r="S496" i="2"/>
  <c r="P109" i="7" s="1"/>
  <c r="P94" i="7"/>
  <c r="T491" i="2"/>
  <c r="Q104" i="7" s="1"/>
  <c r="Q89" i="7"/>
  <c r="G493" i="2"/>
  <c r="D91" i="7"/>
  <c r="M486" i="2"/>
  <c r="J99" i="7" s="1"/>
  <c r="J84" i="7"/>
  <c r="G486" i="2"/>
  <c r="D99" i="7" s="1"/>
  <c r="D84" i="7"/>
  <c r="R492" i="2"/>
  <c r="O105" i="7" s="1"/>
  <c r="O90" i="7"/>
  <c r="S492" i="2"/>
  <c r="P105" i="7" s="1"/>
  <c r="P90" i="7"/>
  <c r="H493" i="2"/>
  <c r="E106" i="7" s="1"/>
  <c r="E91" i="7"/>
  <c r="F478" i="2"/>
  <c r="C91" i="7" s="1"/>
  <c r="F473" i="2"/>
  <c r="C86" i="7" s="1"/>
  <c r="F482" i="2"/>
  <c r="C95" i="7" s="1"/>
  <c r="F477" i="2"/>
  <c r="C90" i="7" s="1"/>
  <c r="V483" i="2"/>
  <c r="S96" i="7" s="1"/>
  <c r="O329" i="2"/>
  <c r="L26" i="7"/>
  <c r="S483" i="2"/>
  <c r="P96" i="7" s="1"/>
  <c r="F468" i="2"/>
  <c r="C81" i="7" s="1"/>
  <c r="C73" i="7"/>
  <c r="U483" i="2"/>
  <c r="R96" i="7" s="1"/>
  <c r="F480" i="2"/>
  <c r="C93" i="7" s="1"/>
  <c r="H483" i="2"/>
  <c r="E96" i="7" s="1"/>
  <c r="U329" i="2"/>
  <c r="R26" i="7"/>
  <c r="N483" i="2"/>
  <c r="K96" i="7" s="1"/>
  <c r="A412" i="2"/>
  <c r="C25" i="7"/>
  <c r="F481" i="2"/>
  <c r="C94" i="7" s="1"/>
  <c r="S329" i="2"/>
  <c r="P26" i="7"/>
  <c r="J483" i="2"/>
  <c r="G96" i="7" s="1"/>
  <c r="H329" i="2"/>
  <c r="E26" i="7"/>
  <c r="V490" i="2"/>
  <c r="N490" i="2"/>
  <c r="U554" i="2"/>
  <c r="L483" i="2"/>
  <c r="I96" i="7" s="1"/>
  <c r="L490" i="2"/>
  <c r="H490" i="2"/>
  <c r="K483" i="2"/>
  <c r="H96" i="7" s="1"/>
  <c r="K490" i="2"/>
  <c r="V486" i="2"/>
  <c r="I483" i="2"/>
  <c r="F96" i="7" s="1"/>
  <c r="I490" i="2"/>
  <c r="P483" i="2"/>
  <c r="M96" i="7" s="1"/>
  <c r="P490" i="2"/>
  <c r="S490" i="2"/>
  <c r="O483" i="2"/>
  <c r="L96" i="7" s="1"/>
  <c r="O490" i="2"/>
  <c r="M483" i="2"/>
  <c r="J96" i="7" s="1"/>
  <c r="M490" i="2"/>
  <c r="V457" i="2"/>
  <c r="S70" i="7" s="1"/>
  <c r="F401" i="2"/>
  <c r="V413" i="2"/>
  <c r="AE490" i="2"/>
  <c r="AE498" i="2" s="1"/>
  <c r="AE499" i="2" s="1"/>
  <c r="R483" i="2"/>
  <c r="O96" i="7" s="1"/>
  <c r="R490" i="2"/>
  <c r="T483" i="2"/>
  <c r="Q96" i="7" s="1"/>
  <c r="T490" i="2"/>
  <c r="F471" i="2"/>
  <c r="C84" i="7" s="1"/>
  <c r="Q483" i="2"/>
  <c r="N96" i="7" s="1"/>
  <c r="Q490" i="2"/>
  <c r="F475" i="2"/>
  <c r="G483" i="2"/>
  <c r="D96" i="7" s="1"/>
  <c r="G490" i="2"/>
  <c r="D103" i="7" s="1"/>
  <c r="U490" i="2"/>
  <c r="M498" i="2" l="1"/>
  <c r="J111" i="7" s="1"/>
  <c r="J103" i="7"/>
  <c r="O498" i="2"/>
  <c r="L111" i="7" s="1"/>
  <c r="L103" i="7"/>
  <c r="F493" i="2"/>
  <c r="C106" i="7" s="1"/>
  <c r="D106" i="7"/>
  <c r="Q498" i="2"/>
  <c r="N111" i="7" s="1"/>
  <c r="N103" i="7"/>
  <c r="N498" i="2"/>
  <c r="K111" i="7" s="1"/>
  <c r="K103" i="7"/>
  <c r="F491" i="2"/>
  <c r="C104" i="7" s="1"/>
  <c r="H104" i="7"/>
  <c r="S498" i="2"/>
  <c r="P111" i="7" s="1"/>
  <c r="P103" i="7"/>
  <c r="V498" i="2"/>
  <c r="S111" i="7" s="1"/>
  <c r="S103" i="7"/>
  <c r="F492" i="2"/>
  <c r="C105" i="7" s="1"/>
  <c r="L498" i="2"/>
  <c r="I111" i="7" s="1"/>
  <c r="I103" i="7"/>
  <c r="P498" i="2"/>
  <c r="M111" i="7" s="1"/>
  <c r="M103" i="7"/>
  <c r="F497" i="2"/>
  <c r="C110" i="7" s="1"/>
  <c r="J110" i="7"/>
  <c r="T498" i="2"/>
  <c r="Q111" i="7" s="1"/>
  <c r="Q103" i="7"/>
  <c r="I498" i="2"/>
  <c r="F111" i="7" s="1"/>
  <c r="F103" i="7"/>
  <c r="F486" i="2"/>
  <c r="C99" i="7" s="1"/>
  <c r="S99" i="7"/>
  <c r="R498" i="2"/>
  <c r="O111" i="7" s="1"/>
  <c r="O103" i="7"/>
  <c r="F496" i="2"/>
  <c r="C109" i="7" s="1"/>
  <c r="K498" i="2"/>
  <c r="H111" i="7" s="1"/>
  <c r="H103" i="7"/>
  <c r="J498" i="2"/>
  <c r="G111" i="7" s="1"/>
  <c r="U498" i="2"/>
  <c r="R111" i="7" s="1"/>
  <c r="R103" i="7"/>
  <c r="H498" i="2"/>
  <c r="E111" i="7" s="1"/>
  <c r="E103" i="7"/>
  <c r="F488" i="2"/>
  <c r="C101" i="7" s="1"/>
  <c r="F495" i="2"/>
  <c r="C108" i="7" s="1"/>
  <c r="D108" i="7"/>
  <c r="A468" i="2"/>
  <c r="V329" i="2"/>
  <c r="S26" i="7"/>
  <c r="F483" i="2"/>
  <c r="C96" i="7" s="1"/>
  <c r="C88" i="7"/>
  <c r="F413" i="2"/>
  <c r="C26" i="7" s="1"/>
  <c r="C14" i="7"/>
  <c r="F490" i="2"/>
  <c r="G498" i="2"/>
  <c r="D111" i="7" s="1"/>
  <c r="V472" i="2"/>
  <c r="L472" i="2"/>
  <c r="M472" i="2"/>
  <c r="R472" i="2"/>
  <c r="Q472" i="2"/>
  <c r="O472" i="2"/>
  <c r="T472" i="2"/>
  <c r="P472" i="2"/>
  <c r="N472" i="2"/>
  <c r="K85" i="7" s="1"/>
  <c r="U472" i="2"/>
  <c r="R85" i="7" s="1"/>
  <c r="H472" i="2"/>
  <c r="E85" i="7" s="1"/>
  <c r="S472" i="2"/>
  <c r="P85" i="7" s="1"/>
  <c r="G472" i="2"/>
  <c r="D85" i="7" s="1"/>
  <c r="K472" i="2"/>
  <c r="J472" i="2"/>
  <c r="G85" i="7" s="1"/>
  <c r="F457" i="2"/>
  <c r="I472" i="2"/>
  <c r="V469" i="2"/>
  <c r="S82" i="7" s="1"/>
  <c r="R487" i="2" l="1"/>
  <c r="O85" i="7"/>
  <c r="I487" i="2"/>
  <c r="F85" i="7"/>
  <c r="M487" i="2"/>
  <c r="J85" i="7"/>
  <c r="L487" i="2"/>
  <c r="I85" i="7"/>
  <c r="Q487" i="2"/>
  <c r="N85" i="7"/>
  <c r="V487" i="2"/>
  <c r="S85" i="7"/>
  <c r="K487" i="2"/>
  <c r="H85" i="7"/>
  <c r="P487" i="2"/>
  <c r="M85" i="7"/>
  <c r="T487" i="2"/>
  <c r="Q85" i="7"/>
  <c r="O487" i="2"/>
  <c r="L85" i="7"/>
  <c r="F498" i="2"/>
  <c r="C111" i="7" s="1"/>
  <c r="C103" i="7"/>
  <c r="F329" i="2"/>
  <c r="F469" i="2"/>
  <c r="C82" i="7" s="1"/>
  <c r="C70" i="7"/>
  <c r="A413" i="2"/>
  <c r="L484" i="2"/>
  <c r="I97" i="7" s="1"/>
  <c r="I484" i="2"/>
  <c r="F97" i="7" s="1"/>
  <c r="Q484" i="2"/>
  <c r="N97" i="7" s="1"/>
  <c r="I116" i="3"/>
  <c r="F116" i="3"/>
  <c r="H116" i="3" s="1"/>
  <c r="I191" i="3"/>
  <c r="F191" i="3"/>
  <c r="H191" i="3" s="1"/>
  <c r="D28" i="3"/>
  <c r="E244" i="3"/>
  <c r="E246" i="3" s="1"/>
  <c r="I154" i="3"/>
  <c r="F154" i="3"/>
  <c r="H154" i="3" s="1"/>
  <c r="I118" i="3"/>
  <c r="F118" i="3"/>
  <c r="H118" i="3" s="1"/>
  <c r="I161" i="3"/>
  <c r="F161" i="3"/>
  <c r="H161" i="3" s="1"/>
  <c r="I155" i="3"/>
  <c r="F155" i="3"/>
  <c r="H155" i="3" s="1"/>
  <c r="I159" i="3"/>
  <c r="F159" i="3"/>
  <c r="H159" i="3" s="1"/>
  <c r="I126" i="3"/>
  <c r="F126" i="3"/>
  <c r="H126" i="3" s="1"/>
  <c r="I119" i="3"/>
  <c r="F119" i="3"/>
  <c r="H119" i="3" s="1"/>
  <c r="I156" i="3"/>
  <c r="F156" i="3"/>
  <c r="H156" i="3" s="1"/>
  <c r="I196" i="3"/>
  <c r="F196" i="3"/>
  <c r="H196" i="3" s="1"/>
  <c r="I194" i="3"/>
  <c r="F194" i="3"/>
  <c r="H194" i="3" s="1"/>
  <c r="I192" i="3"/>
  <c r="F192" i="3"/>
  <c r="H192" i="3" s="1"/>
  <c r="F221" i="3"/>
  <c r="H221" i="3" s="1"/>
  <c r="I221" i="3" s="1"/>
  <c r="C221" i="3"/>
  <c r="C223" i="3" s="1"/>
  <c r="I162" i="3"/>
  <c r="F162" i="3"/>
  <c r="H162" i="3" s="1"/>
  <c r="I117" i="3"/>
  <c r="F117" i="3"/>
  <c r="H117" i="3" s="1"/>
  <c r="I164" i="3"/>
  <c r="F164" i="3"/>
  <c r="H164" i="3" s="1"/>
  <c r="I163" i="3"/>
  <c r="F163" i="3"/>
  <c r="H163" i="3" s="1"/>
  <c r="I157" i="3"/>
  <c r="F157" i="3"/>
  <c r="H157" i="3" s="1"/>
  <c r="I124" i="3"/>
  <c r="F124" i="3"/>
  <c r="H124" i="3" s="1"/>
  <c r="I123" i="3"/>
  <c r="F123" i="3"/>
  <c r="H123" i="3" s="1"/>
  <c r="F220" i="3"/>
  <c r="D223" i="3"/>
  <c r="D27" i="3" s="1"/>
  <c r="D27" i="8" s="1"/>
  <c r="O484" i="2"/>
  <c r="L97" i="7" s="1"/>
  <c r="R484" i="2"/>
  <c r="O97" i="7" s="1"/>
  <c r="M484" i="2"/>
  <c r="J97" i="7" s="1"/>
  <c r="F472" i="2"/>
  <c r="G487" i="2"/>
  <c r="S487" i="2"/>
  <c r="S484" i="2"/>
  <c r="P97" i="7" s="1"/>
  <c r="H487" i="2"/>
  <c r="H484" i="2"/>
  <c r="E97" i="7" s="1"/>
  <c r="U487" i="2"/>
  <c r="U484" i="2"/>
  <c r="R97" i="7" s="1"/>
  <c r="N487" i="2"/>
  <c r="N484" i="2"/>
  <c r="K97" i="7" s="1"/>
  <c r="P484" i="2"/>
  <c r="M97" i="7" s="1"/>
  <c r="G484" i="2"/>
  <c r="D97" i="7" s="1"/>
  <c r="T484" i="2"/>
  <c r="Q97" i="7" s="1"/>
  <c r="J487" i="2"/>
  <c r="J484" i="2"/>
  <c r="G97" i="7" s="1"/>
  <c r="V553" i="2"/>
  <c r="V484" i="2"/>
  <c r="S97" i="7" s="1"/>
  <c r="K484" i="2"/>
  <c r="H97" i="7" s="1"/>
  <c r="I28" i="3" l="1"/>
  <c r="I28" i="8" s="1"/>
  <c r="D28" i="8"/>
  <c r="V499" i="2"/>
  <c r="S112" i="7" s="1"/>
  <c r="S100" i="7"/>
  <c r="G499" i="2"/>
  <c r="D112" i="7" s="1"/>
  <c r="D100" i="7"/>
  <c r="Q499" i="2"/>
  <c r="N112" i="7" s="1"/>
  <c r="N100" i="7"/>
  <c r="S499" i="2"/>
  <c r="P112" i="7" s="1"/>
  <c r="P100" i="7"/>
  <c r="L499" i="2"/>
  <c r="I112" i="7" s="1"/>
  <c r="I100" i="7"/>
  <c r="H499" i="2"/>
  <c r="E112" i="7" s="1"/>
  <c r="E100" i="7"/>
  <c r="K499" i="2"/>
  <c r="H112" i="7" s="1"/>
  <c r="H100" i="7"/>
  <c r="J499" i="2"/>
  <c r="G112" i="7" s="1"/>
  <c r="G100" i="7"/>
  <c r="A469" i="2"/>
  <c r="M499" i="2"/>
  <c r="J112" i="7" s="1"/>
  <c r="J100" i="7"/>
  <c r="N499" i="2"/>
  <c r="K112" i="7" s="1"/>
  <c r="K100" i="7"/>
  <c r="T499" i="2"/>
  <c r="Q112" i="7" s="1"/>
  <c r="Q100" i="7"/>
  <c r="I499" i="2"/>
  <c r="F112" i="7" s="1"/>
  <c r="F100" i="7"/>
  <c r="O499" i="2"/>
  <c r="L112" i="7" s="1"/>
  <c r="L100" i="7"/>
  <c r="U499" i="2"/>
  <c r="R112" i="7" s="1"/>
  <c r="R100" i="7"/>
  <c r="P499" i="2"/>
  <c r="M112" i="7" s="1"/>
  <c r="M100" i="7"/>
  <c r="R499" i="2"/>
  <c r="O112" i="7" s="1"/>
  <c r="O100" i="7"/>
  <c r="F484" i="2"/>
  <c r="C97" i="7" s="1"/>
  <c r="C85" i="7"/>
  <c r="F223" i="3"/>
  <c r="D166" i="3"/>
  <c r="F166" i="3" s="1"/>
  <c r="D128" i="3"/>
  <c r="I128" i="3" s="1"/>
  <c r="H220" i="3"/>
  <c r="I220" i="3" s="1"/>
  <c r="D198" i="3"/>
  <c r="I198" i="3" s="1"/>
  <c r="C27" i="3"/>
  <c r="C237" i="3"/>
  <c r="I78" i="3"/>
  <c r="D21" i="3"/>
  <c r="D21" i="8" s="1"/>
  <c r="D68" i="3"/>
  <c r="I68" i="3" s="1"/>
  <c r="H27" i="3"/>
  <c r="H27" i="8" s="1"/>
  <c r="E248" i="3"/>
  <c r="E249" i="3" s="1"/>
  <c r="E225" i="3"/>
  <c r="H225" i="3" s="1"/>
  <c r="I225" i="3" s="1"/>
  <c r="I193" i="3"/>
  <c r="F193" i="3"/>
  <c r="H193" i="3" s="1"/>
  <c r="I120" i="3"/>
  <c r="F120" i="3"/>
  <c r="H120" i="3" s="1"/>
  <c r="I122" i="3"/>
  <c r="F122" i="3"/>
  <c r="H122" i="3" s="1"/>
  <c r="I79" i="3"/>
  <c r="I82" i="3"/>
  <c r="I121" i="3"/>
  <c r="F121" i="3"/>
  <c r="H121" i="3" s="1"/>
  <c r="I160" i="3"/>
  <c r="F160" i="3"/>
  <c r="H160" i="3" s="1"/>
  <c r="I125" i="3"/>
  <c r="F125" i="3"/>
  <c r="H125" i="3" s="1"/>
  <c r="I158" i="3"/>
  <c r="F158" i="3"/>
  <c r="H158" i="3" s="1"/>
  <c r="I195" i="3"/>
  <c r="F195" i="3"/>
  <c r="H195" i="3" s="1"/>
  <c r="D236" i="3"/>
  <c r="F553" i="2"/>
  <c r="V547" i="2"/>
  <c r="F547" i="2" s="1"/>
  <c r="V551" i="2"/>
  <c r="F551" i="2" s="1"/>
  <c r="V552" i="2"/>
  <c r="F552" i="2" s="1"/>
  <c r="V549" i="2"/>
  <c r="F549" i="2" s="1"/>
  <c r="V548" i="2"/>
  <c r="F548" i="2" s="1"/>
  <c r="V550" i="2"/>
  <c r="F550" i="2" s="1"/>
  <c r="V554" i="2"/>
  <c r="F554" i="2" s="1"/>
  <c r="F487" i="2"/>
  <c r="A484" i="2" l="1"/>
  <c r="C40" i="3"/>
  <c r="C40" i="8" s="1"/>
  <c r="C27" i="8"/>
  <c r="H223" i="3"/>
  <c r="D33" i="3"/>
  <c r="D33" i="8" s="1"/>
  <c r="F499" i="2"/>
  <c r="C100" i="7"/>
  <c r="I166" i="3"/>
  <c r="D34" i="3"/>
  <c r="D35" i="3"/>
  <c r="D87" i="3"/>
  <c r="I87" i="3" s="1"/>
  <c r="F198" i="3"/>
  <c r="H166" i="3"/>
  <c r="H128" i="3"/>
  <c r="H198" i="3"/>
  <c r="F128" i="3"/>
  <c r="E250" i="3"/>
  <c r="I27" i="3"/>
  <c r="I27" i="8" s="1"/>
  <c r="C268" i="3"/>
  <c r="D320" i="3"/>
  <c r="H271" i="3"/>
  <c r="D237" i="3"/>
  <c r="D29" i="3"/>
  <c r="D29" i="8" s="1"/>
  <c r="I33" i="3"/>
  <c r="I33" i="8" s="1"/>
  <c r="E28" i="3"/>
  <c r="E28" i="8" s="1"/>
  <c r="E36" i="3"/>
  <c r="E36" i="8" s="1"/>
  <c r="E232" i="3"/>
  <c r="E230" i="3"/>
  <c r="E228" i="3"/>
  <c r="E233" i="3"/>
  <c r="E231" i="3"/>
  <c r="E229" i="3"/>
  <c r="E234" i="3"/>
  <c r="N27" i="3"/>
  <c r="Q27" i="3" s="1"/>
  <c r="D23" i="3"/>
  <c r="D23" i="8" s="1"/>
  <c r="I81" i="3"/>
  <c r="I80" i="3"/>
  <c r="I84" i="3"/>
  <c r="I85" i="3"/>
  <c r="I83" i="3"/>
  <c r="D32" i="3" l="1"/>
  <c r="D32" i="8" s="1"/>
  <c r="F33" i="3"/>
  <c r="F35" i="3"/>
  <c r="D35" i="8"/>
  <c r="F34" i="3"/>
  <c r="F34" i="8" s="1"/>
  <c r="D34" i="8"/>
  <c r="H33" i="3"/>
  <c r="H33" i="8" s="1"/>
  <c r="F33" i="8"/>
  <c r="I35" i="3"/>
  <c r="I35" i="8" s="1"/>
  <c r="H34" i="3"/>
  <c r="H34" i="8" s="1"/>
  <c r="I34" i="3"/>
  <c r="I34" i="8" s="1"/>
  <c r="A499" i="2"/>
  <c r="A13" i="2" s="1"/>
  <c r="C112" i="7"/>
  <c r="E236" i="3"/>
  <c r="E237" i="3" s="1"/>
  <c r="I271" i="3"/>
  <c r="F271" i="3"/>
  <c r="D38" i="3"/>
  <c r="I32" i="3"/>
  <c r="I32" i="8" s="1"/>
  <c r="I23" i="3"/>
  <c r="I23" i="8" s="1"/>
  <c r="F36" i="3"/>
  <c r="N33" i="3"/>
  <c r="Q33" i="3" s="1"/>
  <c r="I29" i="3"/>
  <c r="I29" i="8" s="1"/>
  <c r="E268" i="3"/>
  <c r="E29" i="3" l="1"/>
  <c r="E29" i="8" s="1"/>
  <c r="H36" i="3"/>
  <c r="F36" i="8"/>
  <c r="N34" i="3"/>
  <c r="Q34" i="3" s="1"/>
  <c r="I38" i="3"/>
  <c r="I38" i="8" s="1"/>
  <c r="D38" i="8"/>
  <c r="H35" i="3"/>
  <c r="F35" i="8"/>
  <c r="E82" i="3"/>
  <c r="E66" i="3"/>
  <c r="E78" i="3"/>
  <c r="E79" i="3"/>
  <c r="E81" i="3"/>
  <c r="E85" i="3"/>
  <c r="E84" i="3"/>
  <c r="E83" i="3"/>
  <c r="E80" i="3"/>
  <c r="C269" i="3"/>
  <c r="C271" i="3" s="1"/>
  <c r="D324" i="3"/>
  <c r="E70" i="3"/>
  <c r="E73" i="3" s="1"/>
  <c r="E25" i="3" s="1"/>
  <c r="E25" i="8" s="1"/>
  <c r="D73" i="3"/>
  <c r="D88" i="3" s="1"/>
  <c r="I88" i="3" s="1"/>
  <c r="H35" i="8" l="1"/>
  <c r="N35" i="3"/>
  <c r="Q35" i="3" s="1"/>
  <c r="N36" i="3"/>
  <c r="Q36" i="3" s="1"/>
  <c r="H36" i="8"/>
  <c r="F85" i="3"/>
  <c r="H85" i="3" s="1"/>
  <c r="F81" i="3"/>
  <c r="H81" i="3" s="1"/>
  <c r="F79" i="3"/>
  <c r="H79" i="3" s="1"/>
  <c r="F83" i="3"/>
  <c r="H83" i="3" s="1"/>
  <c r="E87" i="3"/>
  <c r="F78" i="3"/>
  <c r="E21" i="3"/>
  <c r="E21" i="8" s="1"/>
  <c r="E68" i="3"/>
  <c r="F84" i="3"/>
  <c r="H84" i="3" s="1"/>
  <c r="F82" i="3"/>
  <c r="H82" i="3" s="1"/>
  <c r="F80" i="3"/>
  <c r="H80" i="3" s="1"/>
  <c r="H70" i="3"/>
  <c r="H73" i="3" s="1"/>
  <c r="H25" i="3" s="1"/>
  <c r="D25" i="3"/>
  <c r="D25" i="8" s="1"/>
  <c r="I73" i="3"/>
  <c r="E269" i="3"/>
  <c r="N25" i="3" l="1"/>
  <c r="Q25" i="3" s="1"/>
  <c r="H25" i="8"/>
  <c r="F87" i="3"/>
  <c r="E271" i="3"/>
  <c r="E23" i="3"/>
  <c r="E23" i="8" s="1"/>
  <c r="H78" i="3"/>
  <c r="H87" i="3" s="1"/>
  <c r="I25" i="3"/>
  <c r="I25" i="8" s="1"/>
  <c r="D40" i="3"/>
  <c r="E88" i="3"/>
  <c r="E32" i="3"/>
  <c r="E32" i="8" s="1"/>
  <c r="I40" i="3" l="1"/>
  <c r="I40" i="8" s="1"/>
  <c r="D40" i="8"/>
  <c r="E38" i="3"/>
  <c r="F32" i="3"/>
  <c r="E40" i="3" l="1"/>
  <c r="E40" i="8" s="1"/>
  <c r="E38" i="8"/>
  <c r="F38" i="3"/>
  <c r="F32" i="8"/>
  <c r="H32" i="3"/>
  <c r="H32" i="8" s="1"/>
  <c r="C273" i="3" l="1"/>
  <c r="F38" i="8"/>
  <c r="N32" i="3"/>
  <c r="H38" i="3"/>
  <c r="H38" i="8" s="1"/>
  <c r="C312" i="3" l="1"/>
  <c r="C315" i="3" s="1"/>
  <c r="E273" i="3"/>
  <c r="N38" i="3"/>
  <c r="Q32" i="3"/>
  <c r="Q38" i="3" s="1"/>
  <c r="H273" i="3" l="1"/>
  <c r="E315" i="3"/>
  <c r="C324" i="3" s="1"/>
  <c r="D315" i="3"/>
  <c r="C320" i="3" s="1"/>
  <c r="I273" i="3"/>
  <c r="C325" i="3" l="1"/>
  <c r="F29" i="3"/>
  <c r="C321" i="3"/>
  <c r="F66" i="3"/>
  <c r="F273" i="3"/>
  <c r="F29" i="8" l="1"/>
  <c r="F233" i="3"/>
  <c r="H233" i="3" s="1"/>
  <c r="I233" i="3" s="1"/>
  <c r="F229" i="3"/>
  <c r="H229" i="3" s="1"/>
  <c r="I229" i="3" s="1"/>
  <c r="F230" i="3"/>
  <c r="H230" i="3" s="1"/>
  <c r="I230" i="3" s="1"/>
  <c r="F228" i="3"/>
  <c r="F232" i="3"/>
  <c r="H232" i="3" s="1"/>
  <c r="I232" i="3" s="1"/>
  <c r="F231" i="3"/>
  <c r="H231" i="3" s="1"/>
  <c r="I231" i="3" s="1"/>
  <c r="F234" i="3"/>
  <c r="H234" i="3" s="1"/>
  <c r="I234" i="3" s="1"/>
  <c r="H29" i="3"/>
  <c r="F68" i="3"/>
  <c r="F88" i="3" s="1"/>
  <c r="H66" i="3"/>
  <c r="H68" i="3" s="1"/>
  <c r="H88" i="3" s="1"/>
  <c r="F21" i="3"/>
  <c r="C326" i="3"/>
  <c r="N29" i="3" l="1"/>
  <c r="Q29" i="3" s="1"/>
  <c r="H29" i="8"/>
  <c r="F236" i="3"/>
  <c r="H228" i="3"/>
  <c r="I228" i="3" s="1"/>
  <c r="E326" i="3"/>
  <c r="E324" i="3"/>
  <c r="E320" i="3"/>
  <c r="F21" i="8"/>
  <c r="F23" i="3"/>
  <c r="H21" i="3"/>
  <c r="H21" i="8" l="1"/>
  <c r="H23" i="3"/>
  <c r="N21" i="3"/>
  <c r="F40" i="3"/>
  <c r="F40" i="8" s="1"/>
  <c r="F23" i="8"/>
  <c r="H236" i="3"/>
  <c r="F237" i="3"/>
  <c r="H237" i="3" s="1"/>
  <c r="H40" i="3" l="1"/>
  <c r="H40" i="8" s="1"/>
  <c r="H23" i="8"/>
  <c r="N23" i="3"/>
  <c r="N40" i="3" s="1"/>
  <c r="Q21" i="3"/>
  <c r="Q23" i="3" s="1"/>
  <c r="Q40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Janelle Kenway</author>
  </authors>
  <commentList>
    <comment ref="C220" authorId="0" shapeId="0" xr:uid="{27E00262-BC47-406D-B02E-029EEECE2858}">
      <text>
        <r>
          <rPr>
            <b/>
            <sz val="9"/>
            <color indexed="81"/>
            <rFont val="Tahoma"/>
            <family val="2"/>
          </rPr>
          <t xml:space="preserve">Janelle Kenway:
</t>
        </r>
        <r>
          <rPr>
            <sz val="9"/>
            <color indexed="81"/>
            <rFont val="Tahoma"/>
            <family val="2"/>
          </rPr>
          <t xml:space="preserve">Added Specifically Assigned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Anne Dwyer</author>
  </authors>
  <commentList>
    <comment ref="E327" authorId="0" shapeId="0" xr:uid="{30336A9E-5608-4390-9B3D-EDBA33345E5A}">
      <text>
        <r>
          <rPr>
            <b/>
            <sz val="8"/>
            <color indexed="81"/>
            <rFont val="Tahoma"/>
            <family val="2"/>
          </rPr>
          <t>Anne Dwyer:</t>
        </r>
        <r>
          <rPr>
            <sz val="8"/>
            <color indexed="81"/>
            <rFont val="Tahoma"/>
            <family val="2"/>
          </rPr>
          <t xml:space="preserve">
On a test year basis, the RSP Lab Int W/O (due to hydraulic) is ignored.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Janelle Kenway</author>
  </authors>
  <commentList>
    <comment ref="C220" authorId="0" shapeId="0" xr:uid="{BE679473-03FA-45D5-83ED-98EFCA34C7AD}">
      <text>
        <r>
          <rPr>
            <b/>
            <sz val="9"/>
            <color indexed="81"/>
            <rFont val="Tahoma"/>
            <family val="2"/>
          </rPr>
          <t xml:space="preserve">Janelle Kenway:
</t>
        </r>
        <r>
          <rPr>
            <sz val="9"/>
            <color indexed="81"/>
            <rFont val="Tahoma"/>
            <family val="2"/>
          </rPr>
          <t xml:space="preserve">Added Specifically Assigned </t>
        </r>
      </text>
    </comment>
  </commentList>
</comments>
</file>

<file path=xl/sharedStrings.xml><?xml version="1.0" encoding="utf-8"?>
<sst xmlns="http://schemas.openxmlformats.org/spreadsheetml/2006/main" count="4074" uniqueCount="596">
  <si>
    <t>Island Interconnected</t>
  </si>
  <si>
    <t>Plant Column Lookups</t>
  </si>
  <si>
    <t>Schedule F 2.2A</t>
  </si>
  <si>
    <t>Page 1 of 2</t>
  </si>
  <si>
    <t>Page 2 of 2</t>
  </si>
  <si>
    <t>NEWFOUNDLAND AND LABRADOR HYDRO</t>
  </si>
  <si>
    <t>NEWFOUNDLAND &amp; LABRADOR HYDRO</t>
  </si>
  <si>
    <t>Functional Classification of Plant in Service for the Allocation of O&amp;M Expense</t>
  </si>
  <si>
    <t>Rural Prod &amp;</t>
  </si>
  <si>
    <t>Distribution</t>
  </si>
  <si>
    <t>Specifically</t>
  </si>
  <si>
    <t>Check</t>
  </si>
  <si>
    <t>Alloc</t>
  </si>
  <si>
    <t>Code</t>
  </si>
  <si>
    <t>Line</t>
  </si>
  <si>
    <t>Total</t>
  </si>
  <si>
    <t>Production</t>
  </si>
  <si>
    <t>Transmission</t>
  </si>
  <si>
    <t>Substations</t>
  </si>
  <si>
    <t>Primary Lines</t>
  </si>
  <si>
    <t>Line Transformers</t>
  </si>
  <si>
    <t>Secondary Lines</t>
  </si>
  <si>
    <t>Services</t>
  </si>
  <si>
    <t>Meters</t>
  </si>
  <si>
    <t>Street Lighting</t>
  </si>
  <si>
    <t>Accounting</t>
  </si>
  <si>
    <t>Assigned</t>
  </si>
  <si>
    <t>Column</t>
  </si>
  <si>
    <t>Factor</t>
  </si>
  <si>
    <t>Reference</t>
  </si>
  <si>
    <t>No.</t>
  </si>
  <si>
    <t xml:space="preserve">Description </t>
  </si>
  <si>
    <t>Amount</t>
  </si>
  <si>
    <t>Demand</t>
  </si>
  <si>
    <t>Energy</t>
  </si>
  <si>
    <t>Customer</t>
  </si>
  <si>
    <t>Basis of Functional Classification</t>
  </si>
  <si>
    <t>($)</t>
  </si>
  <si>
    <t>Hydraulic</t>
  </si>
  <si>
    <t xml:space="preserve"> </t>
  </si>
  <si>
    <t>P01</t>
  </si>
  <si>
    <t>Bay D'Espoir</t>
  </si>
  <si>
    <t>P10</t>
  </si>
  <si>
    <t>Upper Salmon</t>
  </si>
  <si>
    <t>P05</t>
  </si>
  <si>
    <t>Hinds Lake</t>
  </si>
  <si>
    <t>P02</t>
  </si>
  <si>
    <t>Cat Arm</t>
  </si>
  <si>
    <t>P08</t>
  </si>
  <si>
    <t>Paradise River</t>
  </si>
  <si>
    <t>P09</t>
  </si>
  <si>
    <t>Granite Canal</t>
  </si>
  <si>
    <t>P12</t>
  </si>
  <si>
    <t>Exploits</t>
  </si>
  <si>
    <t>P13</t>
  </si>
  <si>
    <t>Star Lake</t>
  </si>
  <si>
    <t>P07</t>
  </si>
  <si>
    <t>Other Hydraulic</t>
  </si>
  <si>
    <t>Subtotal Hydraulic</t>
  </si>
  <si>
    <t>P06</t>
  </si>
  <si>
    <t>Holyrood</t>
  </si>
  <si>
    <t>P04</t>
  </si>
  <si>
    <t>Gas Turbines</t>
  </si>
  <si>
    <t>P11</t>
  </si>
  <si>
    <t>Roddickton</t>
  </si>
  <si>
    <t>Diesel</t>
  </si>
  <si>
    <t>Subtotal Production</t>
  </si>
  <si>
    <t>Lines</t>
  </si>
  <si>
    <t xml:space="preserve">Terminal Stations </t>
  </si>
  <si>
    <t>Term Stns - Hydraulic</t>
  </si>
  <si>
    <t>T24</t>
  </si>
  <si>
    <t>Term Stns - Holyrood</t>
  </si>
  <si>
    <t>Term Stns - Gas Tur/Dsl</t>
  </si>
  <si>
    <t>T18</t>
  </si>
  <si>
    <t>Term Stns - Distribution</t>
  </si>
  <si>
    <t>Distribution - Substations Demand</t>
  </si>
  <si>
    <t>Subtotal Term Stns</t>
  </si>
  <si>
    <t>Subtotal Transmission</t>
  </si>
  <si>
    <t>Production - Demand; Dist Substns - Demand</t>
  </si>
  <si>
    <t>D11</t>
  </si>
  <si>
    <t>Land &amp; Land Improvements</t>
  </si>
  <si>
    <t>Poles</t>
  </si>
  <si>
    <t>Primary Conductor &amp; Eqpt</t>
  </si>
  <si>
    <t>D05</t>
  </si>
  <si>
    <t>Submarine Conductor</t>
  </si>
  <si>
    <t>Transformers</t>
  </si>
  <si>
    <t>Secondary Conductor&amp;Eqpt</t>
  </si>
  <si>
    <t>Services Customer</t>
  </si>
  <si>
    <t>Meters - Customer</t>
  </si>
  <si>
    <t>Street Lighting - Customer</t>
  </si>
  <si>
    <t>Subtotal Distribution</t>
  </si>
  <si>
    <t>Subttl Prod, Trans, &amp; Dist</t>
  </si>
  <si>
    <t>General</t>
  </si>
  <si>
    <t>G06</t>
  </si>
  <si>
    <t>NLSO</t>
  </si>
  <si>
    <t>Telecontrol - Custmr &amp; Spec</t>
  </si>
  <si>
    <t>Specifically Assigned - Customer</t>
  </si>
  <si>
    <t>Feasibility Studies</t>
  </si>
  <si>
    <t>Production, Transmission - Demand</t>
  </si>
  <si>
    <t>G10</t>
  </si>
  <si>
    <t>Feasibility Studies - General</t>
  </si>
  <si>
    <t>Software - General</t>
  </si>
  <si>
    <t>Total Plant</t>
  </si>
  <si>
    <t>Schedule F 2.3A</t>
  </si>
  <si>
    <t xml:space="preserve"> Page 1 of 1</t>
  </si>
  <si>
    <t>Functional Classification of Net Book Value</t>
  </si>
  <si>
    <t>Other Small Hydraulic</t>
  </si>
  <si>
    <t>Subtotal Trans &amp; Term Stns</t>
  </si>
  <si>
    <t>Total Net Book Value</t>
  </si>
  <si>
    <t>Schedule F 2.5A</t>
  </si>
  <si>
    <t>Page 1 of 1</t>
  </si>
  <si>
    <t>Functional Classification of Depreciation Expense</t>
  </si>
  <si>
    <t>Muskrat Falls Sustaining</t>
  </si>
  <si>
    <t>Terminal Stations</t>
  </si>
  <si>
    <t>GEC and AFUDC</t>
  </si>
  <si>
    <t>Total Depreciation Expense</t>
  </si>
  <si>
    <t>Schedule F 2.6A</t>
  </si>
  <si>
    <t>Functional Classification of Rate Base</t>
  </si>
  <si>
    <t>Average Net Book Value</t>
  </si>
  <si>
    <t>Cash Working Capital (Including Muskrat Falls)</t>
  </si>
  <si>
    <t>Prorated on Average Net Book Value, L. 1</t>
  </si>
  <si>
    <t>Fuel Inventory - No. 6 Fuel</t>
  </si>
  <si>
    <t>Fuel Inventory - Diesel</t>
  </si>
  <si>
    <t>Fuel Inventory - Gas Turbine</t>
  </si>
  <si>
    <t>Inventory/Supplies</t>
  </si>
  <si>
    <t>Deferred Charges: 
Foreign Exchange Loss and Regulatory Costs</t>
  </si>
  <si>
    <t>Retired Asset Pool</t>
  </si>
  <si>
    <t>Total Rate Base</t>
  </si>
  <si>
    <t>Less: Rural Asset Portion</t>
  </si>
  <si>
    <t>Rate Base Available for Equity Return</t>
  </si>
  <si>
    <t>Return on Debt</t>
  </si>
  <si>
    <t>Return on Equity</t>
  </si>
  <si>
    <t>Return on Rate Base</t>
  </si>
  <si>
    <t>Schedule F 2.4A</t>
  </si>
  <si>
    <t>Functional Classification of Operating &amp; Maintenance Expense</t>
  </si>
  <si>
    <t>Revenue Related</t>
  </si>
  <si>
    <t>Municipal</t>
  </si>
  <si>
    <t xml:space="preserve">PUB </t>
  </si>
  <si>
    <t>Tax</t>
  </si>
  <si>
    <t>Assessment</t>
  </si>
  <si>
    <t>Holyrood / Thermal</t>
  </si>
  <si>
    <t>Gas Turbine</t>
  </si>
  <si>
    <t>Other</t>
  </si>
  <si>
    <t>Transmission Lines</t>
  </si>
  <si>
    <t>P-DisxMet</t>
  </si>
  <si>
    <t>Customer Accounting</t>
  </si>
  <si>
    <t>Accounting - Customer</t>
  </si>
  <si>
    <t>Administrative &amp; General:</t>
  </si>
  <si>
    <t>Plant-Related:</t>
  </si>
  <si>
    <t>Prod - Gas Turb &amp; Diesel</t>
  </si>
  <si>
    <t xml:space="preserve">Transmission  </t>
  </si>
  <si>
    <t xml:space="preserve">Distribution  </t>
  </si>
  <si>
    <t xml:space="preserve">Prod, Trans, Distn </t>
  </si>
  <si>
    <t>Prod, Trans, Distn and General Plant</t>
  </si>
  <si>
    <t>Prod, Trans, Distn, Excl Hydraulic &amp; Holyrood</t>
  </si>
  <si>
    <t>Property Insurance</t>
  </si>
  <si>
    <t>Revenue-Related:</t>
  </si>
  <si>
    <t>Municipal Tax</t>
  </si>
  <si>
    <t>Revenue-related</t>
  </si>
  <si>
    <t>PUB Assessment</t>
  </si>
  <si>
    <t xml:space="preserve">All Expense-Related </t>
  </si>
  <si>
    <t xml:space="preserve">Prod, Trans, and Distn Expense-Related </t>
  </si>
  <si>
    <t>Subtotal Admin &amp; General</t>
  </si>
  <si>
    <t>Total Operating &amp; Maintenance Expenses</t>
  </si>
  <si>
    <t>Schedule F 2.1A</t>
  </si>
  <si>
    <t>Functional Classification of Revenue Requirement</t>
  </si>
  <si>
    <t>Expenses</t>
  </si>
  <si>
    <t>Operating &amp; Maintenance</t>
  </si>
  <si>
    <t>FUEL1</t>
  </si>
  <si>
    <t>Fuels-No. 6 Fuel</t>
  </si>
  <si>
    <t>FUEL2</t>
  </si>
  <si>
    <t>Fuels-Diesel</t>
  </si>
  <si>
    <t>FUEL3</t>
  </si>
  <si>
    <t>Fuels-Gas Turbine</t>
  </si>
  <si>
    <t>Fuel Supply Deferral</t>
  </si>
  <si>
    <t>Power Purchases -CF(L)Co</t>
  </si>
  <si>
    <t>Power Purchases-Other</t>
  </si>
  <si>
    <t>Power Purchases-MF</t>
  </si>
  <si>
    <t>Total Exports</t>
  </si>
  <si>
    <t>Power Purchases - LTA Costs</t>
  </si>
  <si>
    <t>Power Purchases - LIL Costs</t>
  </si>
  <si>
    <t>Rate Mitigation</t>
  </si>
  <si>
    <t>Tariff Revenue</t>
  </si>
  <si>
    <t>Depreciation</t>
  </si>
  <si>
    <t>Expense Credits</t>
  </si>
  <si>
    <t xml:space="preserve">Sundry </t>
  </si>
  <si>
    <t>EXPCR11</t>
  </si>
  <si>
    <t>Greenhouse Gas Carbon Credits</t>
  </si>
  <si>
    <t>EXPCR2</t>
  </si>
  <si>
    <t>Building Rental Income</t>
  </si>
  <si>
    <t>Tax Refunds</t>
  </si>
  <si>
    <t>Suppliers' Discounts</t>
  </si>
  <si>
    <t>EXPCR5II</t>
  </si>
  <si>
    <t>Pole Attachments</t>
  </si>
  <si>
    <t>EXPCR6</t>
  </si>
  <si>
    <t xml:space="preserve">Secondary Energy </t>
  </si>
  <si>
    <t>Production - Energy</t>
  </si>
  <si>
    <t>EXPCR7</t>
  </si>
  <si>
    <t>Wheeling Revenues</t>
  </si>
  <si>
    <t>Transmission - Demand</t>
  </si>
  <si>
    <t>EXPCR8II</t>
  </si>
  <si>
    <t>Application Fees</t>
  </si>
  <si>
    <t>Meter Test Revenues</t>
  </si>
  <si>
    <t xml:space="preserve">    Total Expense Credits</t>
  </si>
  <si>
    <t>Subtotal Expenses</t>
  </si>
  <si>
    <t>DISGLII</t>
  </si>
  <si>
    <t>Disposal Gain / Loss</t>
  </si>
  <si>
    <t>Subtotal Revenue Requirement  Ex. Return</t>
  </si>
  <si>
    <t>Total Revenue Reqmt</t>
  </si>
  <si>
    <t>NBV for Margin Allocation</t>
  </si>
  <si>
    <t>RSPLINWO</t>
  </si>
  <si>
    <t>Include RSP w/ Fuel on an fallout yr basis</t>
  </si>
  <si>
    <t>Schedule F 3.1A</t>
  </si>
  <si>
    <t>Basis of Allocation to Classes of Service</t>
  </si>
  <si>
    <t>(Prior Year</t>
  </si>
  <si>
    <t>(1 CP kW)</t>
  </si>
  <si>
    <t>(MWh @ Gen)</t>
  </si>
  <si>
    <t>(CP kW)</t>
  </si>
  <si>
    <t>(Rural Cust)</t>
  </si>
  <si>
    <t xml:space="preserve">(Wtd Rural Cust)  </t>
  </si>
  <si>
    <t>(Rural Revenues)</t>
  </si>
  <si>
    <t>(Revenues + RSP)</t>
  </si>
  <si>
    <t>Amounts</t>
  </si>
  <si>
    <t>ISLINTNP</t>
  </si>
  <si>
    <t>Newfoundland Power</t>
  </si>
  <si>
    <t>-</t>
  </si>
  <si>
    <t>ISLINTINDF</t>
  </si>
  <si>
    <t>Industrial - Firm</t>
  </si>
  <si>
    <t>ISLINTINDNF</t>
  </si>
  <si>
    <t>Industrial - Non-Firm</t>
  </si>
  <si>
    <t>Rural</t>
  </si>
  <si>
    <t>ISLINT1.1</t>
  </si>
  <si>
    <t>1.1 Domestic</t>
  </si>
  <si>
    <t>ISLINT1.12</t>
  </si>
  <si>
    <t xml:space="preserve">1.12 Domestic All Electric </t>
  </si>
  <si>
    <t>ISLINT1.3</t>
  </si>
  <si>
    <t>1.3 Special</t>
  </si>
  <si>
    <t>ISLINT2.1</t>
  </si>
  <si>
    <t>2.1 GS 0-10 kW</t>
  </si>
  <si>
    <t>ISLINT2.2</t>
  </si>
  <si>
    <t>2.2 GS 10-100 kW</t>
  </si>
  <si>
    <t>ISLINT2.3</t>
  </si>
  <si>
    <t>2.3 GS 110-1,000 kVa</t>
  </si>
  <si>
    <t>ISLINT2.4</t>
  </si>
  <si>
    <t>2.4 GS Over 1,000 kVa</t>
  </si>
  <si>
    <t>ISLINT4.1</t>
  </si>
  <si>
    <t>4.1 Street and Area Lighting</t>
  </si>
  <si>
    <t xml:space="preserve">    Subtotal Rural</t>
  </si>
  <si>
    <t xml:space="preserve">      Total</t>
  </si>
  <si>
    <t>Ratios Excluding Return on Equity</t>
  </si>
  <si>
    <t>Schedule F 3.2A</t>
  </si>
  <si>
    <t>Page 1 of 4</t>
  </si>
  <si>
    <t>Page 2 of 4</t>
  </si>
  <si>
    <t>Allocation of Functionalized Amounts to Classes of Service</t>
  </si>
  <si>
    <t>Allocated Rev Reqmt Excl Return</t>
  </si>
  <si>
    <t>Allocated Return on Debt</t>
  </si>
  <si>
    <t>Allocated Return on Equity</t>
  </si>
  <si>
    <t>Page 3 of 4</t>
  </si>
  <si>
    <t>Page 4 of 4</t>
  </si>
  <si>
    <t>Allocation of Functionalized Amounts to Classes of Service (CONT'D.)</t>
  </si>
  <si>
    <t>Basis of Proration</t>
  </si>
  <si>
    <t>Re-classification of Revenue-Related</t>
  </si>
  <si>
    <t>Re-classification to demand, energy and customer is based on rate class revenue</t>
  </si>
  <si>
    <t>requirements excluding revenue-related items.</t>
  </si>
  <si>
    <t>Total Allocated Revenue Requirement</t>
  </si>
  <si>
    <t>Rate Mitigation Allocation:</t>
  </si>
  <si>
    <t>Rural Island</t>
  </si>
  <si>
    <t>Schedule F 3.3A</t>
  </si>
  <si>
    <t>Allocation of Specifically Assigned Amounts to Classes of Service</t>
  </si>
  <si>
    <t>OM&amp;A</t>
  </si>
  <si>
    <t>Subtotal</t>
  </si>
  <si>
    <t xml:space="preserve">Administrative &amp; </t>
  </si>
  <si>
    <t>Telecontrol &amp;</t>
  </si>
  <si>
    <t>Rental</t>
  </si>
  <si>
    <t>Excluding</t>
  </si>
  <si>
    <t>Return on</t>
  </si>
  <si>
    <t>Excl Rev</t>
  </si>
  <si>
    <t>Revenue</t>
  </si>
  <si>
    <t>Terminals</t>
  </si>
  <si>
    <t>Feasibility Study</t>
  </si>
  <si>
    <t>Income</t>
  </si>
  <si>
    <t>Gains/Losses</t>
  </si>
  <si>
    <t>Return</t>
  </si>
  <si>
    <t>Debt</t>
  </si>
  <si>
    <t>Equity</t>
  </si>
  <si>
    <t>Related</t>
  </si>
  <si>
    <t>(Plant)</t>
  </si>
  <si>
    <t>(C3 &amp; C4)</t>
  </si>
  <si>
    <t>(Direct)</t>
  </si>
  <si>
    <t>(Exp C3,4,6)</t>
  </si>
  <si>
    <t>( C6 )</t>
  </si>
  <si>
    <t>(NBV)</t>
  </si>
  <si>
    <t>Basis of Allocation - Amounts</t>
  </si>
  <si>
    <t>Industrial</t>
  </si>
  <si>
    <t>Vale</t>
  </si>
  <si>
    <t>Corner Brook P&amp; P  - CB</t>
  </si>
  <si>
    <t>Corner Brook P&amp; P  - DL</t>
  </si>
  <si>
    <t>North Atlantic Refining Limited</t>
  </si>
  <si>
    <t>Teck Resources</t>
  </si>
  <si>
    <t>Marathon Gold</t>
  </si>
  <si>
    <t>Subtotal Industrial</t>
  </si>
  <si>
    <t xml:space="preserve">    Total</t>
  </si>
  <si>
    <t>Basis of Allocation - Ratios</t>
  </si>
  <si>
    <t>North Atlantic Refining Ltd.</t>
  </si>
  <si>
    <t>Amounts Allocated</t>
  </si>
  <si>
    <t>RatiosIslInt:</t>
  </si>
  <si>
    <t>LookupCol</t>
  </si>
  <si>
    <t>Expense Ratios:</t>
  </si>
  <si>
    <t>E-GTDC</t>
  </si>
  <si>
    <t>GTDC</t>
  </si>
  <si>
    <t>E-GTD</t>
  </si>
  <si>
    <t>GTD</t>
  </si>
  <si>
    <t>E-GTDC 2</t>
  </si>
  <si>
    <t>E-GTD 2</t>
  </si>
  <si>
    <t>Labour Ratios:</t>
  </si>
  <si>
    <t>GTDC:</t>
  </si>
  <si>
    <t>Production - General</t>
  </si>
  <si>
    <t>Transmission - General</t>
  </si>
  <si>
    <t>Customer-Related</t>
  </si>
  <si>
    <t>L-GTDC</t>
  </si>
  <si>
    <t>GTD:</t>
  </si>
  <si>
    <t>L-GTD</t>
  </si>
  <si>
    <t>Plant - Distribution excl. Meters</t>
  </si>
  <si>
    <t>Insert rows before this line to extend the ratio range</t>
  </si>
  <si>
    <t>Schedule F 1.2</t>
  </si>
  <si>
    <t>Schedule F 1.2A</t>
  </si>
  <si>
    <t>Schedule F 1.2B</t>
  </si>
  <si>
    <t>Page 1 of 6</t>
  </si>
  <si>
    <t>Total System</t>
  </si>
  <si>
    <t>Comparison of Revenue &amp; Allocated Revenue Requirement</t>
  </si>
  <si>
    <t>Allocation of Rate Mitigation</t>
  </si>
  <si>
    <t>Classification &amp; Allocation of  Muskrat Falls Purchased Power Cost</t>
  </si>
  <si>
    <t>Cost of Service Before</t>
  </si>
  <si>
    <t xml:space="preserve">Revenue Requirement </t>
  </si>
  <si>
    <t>Total Muskrat Falls</t>
  </si>
  <si>
    <t>Deficit and Revenue</t>
  </si>
  <si>
    <t>RSP</t>
  </si>
  <si>
    <t>After Deficit and Revenue</t>
  </si>
  <si>
    <t>to Cost</t>
  </si>
  <si>
    <t>(Allocated consistent</t>
  </si>
  <si>
    <t>Net Class</t>
  </si>
  <si>
    <t>Purchased Power</t>
  </si>
  <si>
    <t>Rate Class</t>
  </si>
  <si>
    <t>Revenues</t>
  </si>
  <si>
    <t>Credit Allocation</t>
  </si>
  <si>
    <t>Credits</t>
  </si>
  <si>
    <t>Deficit</t>
  </si>
  <si>
    <t>Activity</t>
  </si>
  <si>
    <t>Coverage</t>
  </si>
  <si>
    <t>with Muskrat Falls PPA)</t>
  </si>
  <si>
    <t>Billing Amount</t>
  </si>
  <si>
    <t>Costs</t>
  </si>
  <si>
    <t>(Col.3+4+5)</t>
  </si>
  <si>
    <t>(Col.2/3)</t>
  </si>
  <si>
    <t>%</t>
  </si>
  <si>
    <t>RSP Activity</t>
  </si>
  <si>
    <r>
      <t xml:space="preserve">Hydro Rural </t>
    </r>
    <r>
      <rPr>
        <vertAlign val="superscript"/>
        <sz val="10"/>
        <rFont val="Arial"/>
        <family val="2"/>
      </rPr>
      <t>1</t>
    </r>
  </si>
  <si>
    <t>Subtotal Newfoundland Power</t>
  </si>
  <si>
    <t>Total Muskrat Falls Purchased Power</t>
  </si>
  <si>
    <t xml:space="preserve">Island Industrial </t>
  </si>
  <si>
    <t>Unallocated RSP Hydraulic Variation</t>
  </si>
  <si>
    <t xml:space="preserve">Labrador Industrial </t>
  </si>
  <si>
    <t>CFB - Goose Bay Secondary</t>
  </si>
  <si>
    <t>Overall</t>
  </si>
  <si>
    <t>Rural Labrador Interconnected</t>
  </si>
  <si>
    <t xml:space="preserve">Allocation of </t>
  </si>
  <si>
    <t xml:space="preserve">Muskrat Falls </t>
  </si>
  <si>
    <t>Rural Deficit Areas</t>
  </si>
  <si>
    <t>Island Isolated</t>
  </si>
  <si>
    <t>Labrador Isolated</t>
  </si>
  <si>
    <t>L'Anse au Loup</t>
  </si>
  <si>
    <t>CFB Revenue Credit Applied to Deficit</t>
  </si>
  <si>
    <t>Page 2 of 6</t>
  </si>
  <si>
    <t>Credit</t>
  </si>
  <si>
    <t>Allocation</t>
  </si>
  <si>
    <t>NLP RSP Activity</t>
  </si>
  <si>
    <t>Industrial RSP Activity</t>
  </si>
  <si>
    <t>2.1 General Service 0-100 kW</t>
  </si>
  <si>
    <t>2.2 General Service 10-100 kW</t>
  </si>
  <si>
    <t>2.3 General Service 110-1,000 kVa</t>
  </si>
  <si>
    <t>2.4 General Service Over 1,000 kVa</t>
  </si>
  <si>
    <t>Subtotal Rural</t>
  </si>
  <si>
    <t>Total Island Interconnected</t>
  </si>
  <si>
    <t>Page 3 of 6</t>
  </si>
  <si>
    <t>1.2 Domestic Diesel</t>
  </si>
  <si>
    <t>ISLISO1.2</t>
  </si>
  <si>
    <t>1.2G Government Domestic Diesel</t>
  </si>
  <si>
    <t>ISLISO1.2G</t>
  </si>
  <si>
    <t>1.23 Churches, Schools &amp; Com Halls</t>
  </si>
  <si>
    <t>ISLISO1.23</t>
  </si>
  <si>
    <t>2.1 General Service 0-10 kW</t>
  </si>
  <si>
    <t>ISLISO2.1D</t>
  </si>
  <si>
    <t>ISLISO2.2D</t>
  </si>
  <si>
    <t>ISLISO2.3</t>
  </si>
  <si>
    <t>ISLISO2.4</t>
  </si>
  <si>
    <t>2.5 GS Diesel</t>
  </si>
  <si>
    <t>ISLISO2.5</t>
  </si>
  <si>
    <t>2.5G Gov't General Service Diesel</t>
  </si>
  <si>
    <t>ISLISO2.5G</t>
  </si>
  <si>
    <t>ISLISO4.1</t>
  </si>
  <si>
    <t>4.1G Gov't Street and Area Lighting</t>
  </si>
  <si>
    <t>ISLISO4.1G</t>
  </si>
  <si>
    <t>Page 4 of 6</t>
  </si>
  <si>
    <t>LABISO1.2</t>
  </si>
  <si>
    <t>LABISO1.2G</t>
  </si>
  <si>
    <t>LABISO1.23</t>
  </si>
  <si>
    <t>LABISO2.1D</t>
  </si>
  <si>
    <t>LABISO2.2</t>
  </si>
  <si>
    <t>LABISO2.3</t>
  </si>
  <si>
    <t>LABISO2.4</t>
  </si>
  <si>
    <t>LABISO2.5</t>
  </si>
  <si>
    <t>LABISO2.5G</t>
  </si>
  <si>
    <t>LABISO4.1</t>
  </si>
  <si>
    <t>LABISO4.1G</t>
  </si>
  <si>
    <t>Page 5 of 6</t>
  </si>
  <si>
    <t>LAL1.2</t>
  </si>
  <si>
    <t>LAL1.12</t>
  </si>
  <si>
    <t>LAL2.1</t>
  </si>
  <si>
    <t>LAL2.2</t>
  </si>
  <si>
    <t>LAL2.3</t>
  </si>
  <si>
    <t>LAL4.1</t>
  </si>
  <si>
    <t>Total L'Anse Au Loup</t>
  </si>
  <si>
    <t>Page 6 of 6</t>
  </si>
  <si>
    <t>Labrador Interconnected</t>
  </si>
  <si>
    <t>Labrador Industrial Firm</t>
  </si>
  <si>
    <t>Labrador Industrial Non-Firm</t>
  </si>
  <si>
    <t xml:space="preserve">1.1 Domestic </t>
  </si>
  <si>
    <t>LEINT1.1</t>
  </si>
  <si>
    <t xml:space="preserve">1.1A Domestic All Electric </t>
  </si>
  <si>
    <t>LEINT1.12</t>
  </si>
  <si>
    <t>LEINT2.1</t>
  </si>
  <si>
    <t>LEINT2.2</t>
  </si>
  <si>
    <t>LEINT2.3</t>
  </si>
  <si>
    <t>LEINT2.4</t>
  </si>
  <si>
    <t>LEINT4.1</t>
  </si>
  <si>
    <t>Total Labrador Interconnected</t>
  </si>
  <si>
    <t>NOTES:</t>
  </si>
  <si>
    <t>Revenue to Cost ratios include the deficit allocation when calculated for individual rate classes.</t>
  </si>
  <si>
    <t>Calculation of CFB - Goose Bay Secondary Revenue Credit</t>
  </si>
  <si>
    <t>CFB - Goose Bay Secondary Revenues, Ln 4, Col 2</t>
  </si>
  <si>
    <t>CFB - Goose Bay Secondary Allocated Cost of Service, Ln 4, Col 3</t>
  </si>
  <si>
    <t>CFB - Goose Bay Secondary Allocated Deficit, Ln 4, Col 5</t>
  </si>
  <si>
    <t>Revenue Credit</t>
  </si>
  <si>
    <t>Revenue Credit Applied to Deficit</t>
  </si>
  <si>
    <t>Revenue Credit Applied to Firm Regulated Labrador Interconnected Customers</t>
  </si>
  <si>
    <t>Schedule F 1.2.1</t>
  </si>
  <si>
    <t>Rural Deficit Allocation</t>
  </si>
  <si>
    <t>Before Deficit and Revenue Credit Allocation</t>
  </si>
  <si>
    <t>Allocated</t>
  </si>
  <si>
    <t>Rural Rate</t>
  </si>
  <si>
    <t>Revenue Reqt</t>
  </si>
  <si>
    <t>Mitigation</t>
  </si>
  <si>
    <t xml:space="preserve">         Source</t>
  </si>
  <si>
    <t>CLASSIFICATION TO DEMAND, ENERGY, CUSTOMERS:</t>
  </si>
  <si>
    <t xml:space="preserve">  Newfoundland Power</t>
  </si>
  <si>
    <t xml:space="preserve">  Schedule F 1.3.1, p. 1</t>
  </si>
  <si>
    <t xml:space="preserve">  Rural Labrador Interconnected</t>
  </si>
  <si>
    <t xml:space="preserve">  Schedule F 1.3.1, p. 3</t>
  </si>
  <si>
    <t xml:space="preserve">    Deficit Classified</t>
  </si>
  <si>
    <t xml:space="preserve">  Net Prorated on Line 3</t>
  </si>
  <si>
    <t>NOTE:  This page omitted from the print range in favour of Page 2 below.</t>
  </si>
  <si>
    <t>* Specifically assigned costs are converted to equivalent unweighted customers</t>
  </si>
  <si>
    <t xml:space="preserve">  by dividing the assigned cost by the allocated customer cost per unweighted customer.</t>
  </si>
  <si>
    <t xml:space="preserve">  Rural Customer Costs per Rural Customer:</t>
  </si>
  <si>
    <t xml:space="preserve">    Island Interconnected:  </t>
  </si>
  <si>
    <t xml:space="preserve">    Labrador Interconnected:   </t>
  </si>
  <si>
    <t>Deficit Allocation</t>
  </si>
  <si>
    <t>Allocated on</t>
  </si>
  <si>
    <t xml:space="preserve">  Island</t>
  </si>
  <si>
    <t xml:space="preserve">  Labrador</t>
  </si>
  <si>
    <t xml:space="preserve">  Interconnected</t>
  </si>
  <si>
    <t xml:space="preserve"> Interconnected</t>
  </si>
  <si>
    <t>ALLOCATION OF DEFICIT:</t>
  </si>
  <si>
    <t xml:space="preserve">  Rural Deficit Classified</t>
  </si>
  <si>
    <t xml:space="preserve">  Rural rate Mitigation</t>
  </si>
  <si>
    <t xml:space="preserve">    Allocated Totals</t>
  </si>
  <si>
    <t>CUSTOMER DEFICIT ALLOCATION:</t>
  </si>
  <si>
    <t>Revenue Requirement</t>
  </si>
  <si>
    <t>Percent</t>
  </si>
  <si>
    <t xml:space="preserve">  Island Interconnected:</t>
  </si>
  <si>
    <t xml:space="preserve">    Newfoundland Power</t>
  </si>
  <si>
    <t xml:space="preserve">     Sub-Total Island Interconnected</t>
  </si>
  <si>
    <t xml:space="preserve">  Labrador Interconnected:</t>
  </si>
  <si>
    <t xml:space="preserve">    Rural Labrador Interconnected</t>
  </si>
  <si>
    <t xml:space="preserve">      Subtotal Labrador Interconnected</t>
  </si>
  <si>
    <t xml:space="preserve">  Total</t>
  </si>
  <si>
    <t>Schedule G 2.2A</t>
  </si>
  <si>
    <t>Schedule G 2.3A</t>
  </si>
  <si>
    <t>Schedule G 2.5A</t>
  </si>
  <si>
    <t>Schedule G 2.6A</t>
  </si>
  <si>
    <t>Schedule G 2.4A</t>
  </si>
  <si>
    <t>Schedule G 2.1A</t>
  </si>
  <si>
    <t>Schedule G 3.1A</t>
  </si>
  <si>
    <t>Schedule G 3.2A</t>
  </si>
  <si>
    <t>Schedule G 3.3A</t>
  </si>
  <si>
    <t>Schedule G 1.2</t>
  </si>
  <si>
    <t>Schedule G 1.2A</t>
  </si>
  <si>
    <t>Schedule G 1.2B</t>
  </si>
  <si>
    <t>Schedule G 1.2.1</t>
  </si>
  <si>
    <t xml:space="preserve">  Schedule G 1.3.1, p. 1</t>
  </si>
  <si>
    <t xml:space="preserve">  Schedule G 1.3.1, p. 3</t>
  </si>
  <si>
    <t>Production - Demand, Energy ratios Sch F 4.1 L.1</t>
  </si>
  <si>
    <t>Production - Demand, Energy ratios Sch F 4.1 L.1, 2</t>
  </si>
  <si>
    <t>Production - Demand, Energy ratios Sch F 4.1 L.3</t>
  </si>
  <si>
    <t>Production - Demand, Energy ratios Sch F 4.1 L.4</t>
  </si>
  <si>
    <t>Production - Demand, Energy ratios Sch F 4.1 L.5</t>
  </si>
  <si>
    <t>Production - Demand, Energy ratios Sch F 4.1 L.17 Transmission - Demand; Distribution - Primary Demand; Spec Assigned - Custmr</t>
  </si>
  <si>
    <t>Production - Demand, Energy ratios Sch F 4.1 L.20</t>
  </si>
  <si>
    <t>Production - Demand, Energy ratios Sch F 4.1 L.21</t>
  </si>
  <si>
    <t>Production - Demand, Energy ratios Sch F 4.1 L.22, 23</t>
  </si>
  <si>
    <t>Primary, Secondary - Demand, Customer - zero intercept ratios Sch F 4.1 L.32</t>
  </si>
  <si>
    <t>Primary, Secondary - Demand, Customer - zero intercept ratios Sch F 4.1 L.37</t>
  </si>
  <si>
    <t>Primary - Demand, Customer - zero intercept ratios Sch F 4.1 L.38</t>
  </si>
  <si>
    <t>Primary - Demand, Customer - zero intercept ratios Sch F 4.1 L.39</t>
  </si>
  <si>
    <t>Transformers - Demand, Customer - zero intercept ratios Sch F 4.1 L.40</t>
  </si>
  <si>
    <t>Secondary - Demand, Customer - zero intercept ratios Sch F  4.1 L.41</t>
  </si>
  <si>
    <t>Production - Demand, Energy ratios Sch F 4.1 L.10</t>
  </si>
  <si>
    <t>Production - Demand, Energy ratios Sch F 4.1 L.12</t>
  </si>
  <si>
    <t>Production - Demand, Energy ratios Sch F 4.1 L.11</t>
  </si>
  <si>
    <t>Prorated on Distribution Poles - Sch F 4.1 L.37</t>
  </si>
  <si>
    <t>SPLT2</t>
  </si>
  <si>
    <t>SPLT3</t>
  </si>
  <si>
    <t>SPLT4</t>
  </si>
  <si>
    <t>SPLT5</t>
  </si>
  <si>
    <t>SPLT6</t>
  </si>
  <si>
    <t>SPLT7</t>
  </si>
  <si>
    <t>SPLT8</t>
  </si>
  <si>
    <t>SPLT9</t>
  </si>
  <si>
    <t>SMET01</t>
  </si>
  <si>
    <t>SGPLT01</t>
  </si>
  <si>
    <t>SCS2_01</t>
  </si>
  <si>
    <t>SMET02</t>
  </si>
  <si>
    <t>SGPLT02</t>
  </si>
  <si>
    <t>SCS2_02</t>
  </si>
  <si>
    <t>SMET03</t>
  </si>
  <si>
    <t>SGPLT03</t>
  </si>
  <si>
    <t>SCS2_03</t>
  </si>
  <si>
    <t>SNBV1</t>
  </si>
  <si>
    <t>SNBV2</t>
  </si>
  <si>
    <t>SNBV3</t>
  </si>
  <si>
    <t>SNBV4</t>
  </si>
  <si>
    <t>SNBV5</t>
  </si>
  <si>
    <t>SNBV6</t>
  </si>
  <si>
    <t>SNBV7</t>
  </si>
  <si>
    <t>SNBV8</t>
  </si>
  <si>
    <t>SNBV9</t>
  </si>
  <si>
    <t>SDEP1</t>
  </si>
  <si>
    <t>SDEP2</t>
  </si>
  <si>
    <t>SDEP3</t>
  </si>
  <si>
    <t>SDEP4</t>
  </si>
  <si>
    <t>SDEP5</t>
  </si>
  <si>
    <t>SDEP6</t>
  </si>
  <si>
    <t>SDEP7</t>
  </si>
  <si>
    <t>SDEP8</t>
  </si>
  <si>
    <t>SDEP9</t>
  </si>
  <si>
    <t>Deferred Charges: Muskrat Falls</t>
  </si>
  <si>
    <t>L.10 x Sch F 1.1,p2,L.16</t>
  </si>
  <si>
    <t>L.12 x Sch F 1.1,p2,L.19</t>
  </si>
  <si>
    <t>Carryforward from Sch F 4.4 L.1 - L.7</t>
  </si>
  <si>
    <t>Carryforward from Sch F 4.4 L.8</t>
  </si>
  <si>
    <t>Carryforward from Sch F 4.4 L.10</t>
  </si>
  <si>
    <t>Carryforward from Sch F 4.4 L.11</t>
  </si>
  <si>
    <t>1. System Load Factor - basis for classification.</t>
  </si>
  <si>
    <t>N/A</t>
  </si>
  <si>
    <t>Rural Allocation=Full</t>
  </si>
  <si>
    <t>Production - Demand, Energy ratios Sch G 4.1 L.1</t>
  </si>
  <si>
    <t>Production - Demand, Energy ratios Sch G 4.1 L.1, 2</t>
  </si>
  <si>
    <t>Production - Demand, Energy ratios Sch G 4.1 L.3</t>
  </si>
  <si>
    <t>Production - Demand, Energy ratios Sch G 4.1 L.4</t>
  </si>
  <si>
    <t>Production - Demand, Energy ratios Sch G 4.1 L.5</t>
  </si>
  <si>
    <t>Production - Demand, Energy ratios Sch G 4.1 L.17 Transmission - Demand; Distribution - Primary Demand; Spec Assigned - Custmr</t>
  </si>
  <si>
    <t>Production - Demand, Energy ratios Sch G 4.1 L.20</t>
  </si>
  <si>
    <t>Production - Demand, Energy ratios Sch G 4.1 L.21</t>
  </si>
  <si>
    <t>Production - Demand, Energy ratios Sch G 4.1 L.22, 23</t>
  </si>
  <si>
    <t>Primary, Secondary - Demand, Customer - zero intercept ratios Sch G 4.1 L.32</t>
  </si>
  <si>
    <t>Primary, Secondary - Demand, Customer - zero intercept ratios Sch G 4.1 L.37</t>
  </si>
  <si>
    <t>Primary - Demand, Customer - zero intercept ratios Sch G 4.1 L.38</t>
  </si>
  <si>
    <t>Primary - Demand, Customer - zero intercept ratios Sch G 4.1 L.39</t>
  </si>
  <si>
    <t>Transformers - Demand, Customer - zero intercept ratios Sch G 4.1 L.40</t>
  </si>
  <si>
    <t>Secondary - Demand, Customer - zero intercept ratios Sch G 4.1 L.41</t>
  </si>
  <si>
    <t>Production - Demand, Energy ratios Sch G 4.1 L.10</t>
  </si>
  <si>
    <t>Production - Demand, Energy ratios Sch G 4.1 L.12</t>
  </si>
  <si>
    <t>Production - Demand, Energy ratios Sch G 4.1 L.11</t>
  </si>
  <si>
    <t>Prorated on Distribution Poles - Sch G 4.1 L.37</t>
  </si>
  <si>
    <t>L.10 x Sch G 1.1,p2,L.16</t>
  </si>
  <si>
    <t>L.12 x Sch G 1.1,p2,L.19</t>
  </si>
  <si>
    <t>Carryforward from Sch G 4.4 L.1 - L.7</t>
  </si>
  <si>
    <t>Carryforward from Sch G 4.4 L.8</t>
  </si>
  <si>
    <t>Carryforward from Sch G 4.4 L.10</t>
  </si>
  <si>
    <t>Carryforward from Sch G 4.4 L.11</t>
  </si>
  <si>
    <t>2027 Test Year Cost of Service Study</t>
  </si>
  <si>
    <t>Comparison of Revenue &amp; Allocated Revenue Requirement (Unmitigated vs Mitigated)</t>
  </si>
  <si>
    <t>Allocation of Functionalized Amounts to Classes of Service (Unmitigated versus Mitigated)</t>
  </si>
  <si>
    <t>Allocation of Functionalized Amounts to Classes of Service (Unmitigated vs Mitigated) (CONT'D.)</t>
  </si>
  <si>
    <t>Net Allocated</t>
  </si>
  <si>
    <t>Total Revenue Requirement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</si>
</sst>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_);\(0\)"/>
    <numFmt numFmtId="166" formatCode="_(* #,##0.0000_);_(* \(#,##0.0000\);_(* &quot;-&quot;????_);_(@_)"/>
    <numFmt numFmtId="167" formatCode="0.0%"/>
    <numFmt numFmtId="168" formatCode="0.00000000000000%"/>
    <numFmt numFmtId="169" formatCode="d\-mmm\-yyyy"/>
    <numFmt numFmtId="170" formatCode="_(* #,##0.000_);_(* \(#,##0.000\);_(* &quot;-&quot;??_);_(@_)"/>
    <numFmt numFmtId="171" formatCode="#,##0.00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name val="Arial Narrow"/>
      <family val="2"/>
    </font>
    <font>
      <b/>
      <sz val="11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i/>
      <sz val="11"/>
      <name val="Arial Narrow"/>
      <family val="2"/>
    </font>
    <font>
      <sz val="10"/>
      <name val="Arial Narrow"/>
      <family val="2"/>
    </font>
    <font>
      <sz val="11"/>
      <color theme="0"/>
      <name val="Arial Narrow"/>
      <family val="2"/>
    </font>
    <font>
      <sz val="10"/>
      <color indexed="8"/>
      <name val="MS Sans Serif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vertAlign val="superscript"/>
      <sz val="10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1"/>
      <name val="Calibri"/>
      <family val="2"/>
    </font>
    <font>
      <sz val="10"/>
      <color indexed="48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2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</cellStyleXfs>
  <cellXfs count="238">
    <xf numFmtId="0" fontId="0" fillId="0" borderId="0" xfId="0"/>
    <xf numFmtId="0" fontId="2" fillId="0" borderId="0" xfId="1" applyAlignment="1">
      <alignment horizontal="center"/>
    </xf>
    <xf numFmtId="0" fontId="3" fillId="0" borderId="0" xfId="1" applyFont="1"/>
    <xf numFmtId="0" fontId="3" fillId="0" borderId="0" xfId="1" quotePrefix="1" applyFont="1" applyAlignment="1">
      <alignment horizontal="left" wrapText="1"/>
    </xf>
    <xf numFmtId="0" fontId="3" fillId="0" borderId="0" xfId="1" applyFont="1" applyAlignment="1">
      <alignment wrapText="1"/>
    </xf>
    <xf numFmtId="0" fontId="4" fillId="0" borderId="0" xfId="1" applyFont="1"/>
    <xf numFmtId="0" fontId="5" fillId="0" borderId="0" xfId="1" applyFont="1"/>
    <xf numFmtId="0" fontId="5" fillId="0" borderId="0" xfId="1" applyFont="1" applyAlignment="1">
      <alignment horizontal="right"/>
    </xf>
    <xf numFmtId="0" fontId="6" fillId="0" borderId="0" xfId="1" quotePrefix="1" applyFont="1" applyAlignment="1">
      <alignment horizontal="centerContinuous"/>
    </xf>
    <xf numFmtId="0" fontId="6" fillId="0" borderId="0" xfId="1" applyFont="1" applyAlignment="1">
      <alignment horizontal="centerContinuous"/>
    </xf>
    <xf numFmtId="164" fontId="6" fillId="0" borderId="0" xfId="1" applyNumberFormat="1" applyFont="1" applyAlignment="1">
      <alignment horizontal="centerContinuous"/>
    </xf>
    <xf numFmtId="0" fontId="5" fillId="0" borderId="0" xfId="1" applyFont="1" applyAlignment="1">
      <alignment horizontal="centerContinuous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7" fillId="0" borderId="0" xfId="1" applyFont="1" applyAlignment="1">
      <alignment horizontal="center"/>
    </xf>
    <xf numFmtId="165" fontId="5" fillId="0" borderId="0" xfId="1" applyNumberFormat="1" applyFont="1" applyAlignment="1">
      <alignment horizontal="center"/>
    </xf>
    <xf numFmtId="0" fontId="5" fillId="0" borderId="0" xfId="1" applyFont="1" applyAlignment="1">
      <alignment horizontal="left"/>
    </xf>
    <xf numFmtId="0" fontId="8" fillId="0" borderId="0" xfId="1" applyFont="1" applyAlignment="1">
      <alignment horizontal="center"/>
    </xf>
    <xf numFmtId="0" fontId="7" fillId="0" borderId="0" xfId="1" applyFont="1"/>
    <xf numFmtId="0" fontId="6" fillId="0" borderId="0" xfId="1" applyFont="1"/>
    <xf numFmtId="0" fontId="6" fillId="0" borderId="0" xfId="1" applyFont="1" applyAlignment="1">
      <alignment horizontal="left"/>
    </xf>
    <xf numFmtId="164" fontId="5" fillId="0" borderId="0" xfId="2" applyNumberFormat="1" applyFont="1" applyFill="1"/>
    <xf numFmtId="164" fontId="5" fillId="0" borderId="0" xfId="1" applyNumberFormat="1" applyFont="1"/>
    <xf numFmtId="164" fontId="7" fillId="0" borderId="0" xfId="1" quotePrefix="1" applyNumberFormat="1" applyFont="1" applyAlignment="1">
      <alignment horizontal="left"/>
    </xf>
    <xf numFmtId="164" fontId="5" fillId="0" borderId="0" xfId="1" applyNumberFormat="1" applyFont="1" applyAlignment="1">
      <alignment horizontal="center"/>
    </xf>
    <xf numFmtId="164" fontId="7" fillId="0" borderId="0" xfId="1" applyNumberFormat="1" applyFont="1"/>
    <xf numFmtId="0" fontId="5" fillId="0" borderId="0" xfId="1" quotePrefix="1" applyFont="1" applyAlignment="1">
      <alignment horizontal="left"/>
    </xf>
    <xf numFmtId="1" fontId="7" fillId="0" borderId="0" xfId="1" applyNumberFormat="1" applyFont="1"/>
    <xf numFmtId="164" fontId="8" fillId="0" borderId="0" xfId="1" applyNumberFormat="1" applyFont="1"/>
    <xf numFmtId="164" fontId="6" fillId="0" borderId="1" xfId="2" applyNumberFormat="1" applyFont="1" applyFill="1" applyBorder="1"/>
    <xf numFmtId="164" fontId="6" fillId="0" borderId="1" xfId="1" applyNumberFormat="1" applyFont="1" applyBorder="1"/>
    <xf numFmtId="1" fontId="7" fillId="0" borderId="0" xfId="1" applyNumberFormat="1" applyFont="1" applyAlignment="1">
      <alignment vertical="top" wrapText="1"/>
    </xf>
    <xf numFmtId="0" fontId="5" fillId="0" borderId="0" xfId="1" quotePrefix="1" applyFont="1" applyAlignment="1">
      <alignment horizontal="left" vertical="top" wrapText="1"/>
    </xf>
    <xf numFmtId="164" fontId="5" fillId="0" borderId="0" xfId="2" applyNumberFormat="1" applyFont="1" applyFill="1" applyBorder="1"/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vertical="top" wrapText="1"/>
    </xf>
    <xf numFmtId="0" fontId="6" fillId="0" borderId="0" xfId="1" applyFont="1" applyAlignment="1">
      <alignment wrapText="1"/>
    </xf>
    <xf numFmtId="164" fontId="6" fillId="0" borderId="1" xfId="2" applyNumberFormat="1" applyFont="1" applyFill="1" applyBorder="1" applyAlignment="1"/>
    <xf numFmtId="0" fontId="6" fillId="0" borderId="0" xfId="1" applyFont="1" applyAlignment="1">
      <alignment vertical="top" wrapText="1"/>
    </xf>
    <xf numFmtId="164" fontId="6" fillId="0" borderId="2" xfId="1" applyNumberFormat="1" applyFont="1" applyBorder="1"/>
    <xf numFmtId="164" fontId="6" fillId="0" borderId="3" xfId="1" applyNumberFormat="1" applyFont="1" applyBorder="1"/>
    <xf numFmtId="164" fontId="5" fillId="0" borderId="0" xfId="1" applyNumberFormat="1" applyFont="1" applyAlignment="1">
      <alignment horizontal="right"/>
    </xf>
    <xf numFmtId="1" fontId="8" fillId="0" borderId="0" xfId="1" applyNumberFormat="1" applyFont="1" applyAlignment="1">
      <alignment horizontal="centerContinuous"/>
    </xf>
    <xf numFmtId="164" fontId="8" fillId="0" borderId="0" xfId="1" applyNumberFormat="1" applyFont="1" applyAlignment="1">
      <alignment horizontal="centerContinuous"/>
    </xf>
    <xf numFmtId="1" fontId="7" fillId="0" borderId="0" xfId="1" applyNumberFormat="1" applyFont="1" applyAlignment="1">
      <alignment horizontal="center"/>
    </xf>
    <xf numFmtId="164" fontId="7" fillId="0" borderId="0" xfId="1" applyNumberFormat="1" applyFont="1" applyAlignment="1">
      <alignment horizontal="center"/>
    </xf>
    <xf numFmtId="164" fontId="5" fillId="0" borderId="1" xfId="1" applyNumberFormat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2" xfId="1" quotePrefix="1" applyFont="1" applyBorder="1" applyAlignment="1">
      <alignment horizontal="center"/>
    </xf>
    <xf numFmtId="164" fontId="9" fillId="0" borderId="0" xfId="2" applyNumberFormat="1" applyFont="1" applyFill="1" applyBorder="1"/>
    <xf numFmtId="164" fontId="6" fillId="0" borderId="0" xfId="2" applyNumberFormat="1" applyFont="1" applyFill="1"/>
    <xf numFmtId="164" fontId="9" fillId="0" borderId="0" xfId="2" applyNumberFormat="1" applyFont="1" applyFill="1"/>
    <xf numFmtId="0" fontId="6" fillId="0" borderId="0" xfId="1" quotePrefix="1" applyFont="1" applyAlignment="1">
      <alignment horizontal="left"/>
    </xf>
    <xf numFmtId="37" fontId="7" fillId="0" borderId="0" xfId="1" applyNumberFormat="1" applyFont="1"/>
    <xf numFmtId="164" fontId="6" fillId="0" borderId="3" xfId="2" applyNumberFormat="1" applyFont="1" applyFill="1" applyBorder="1"/>
    <xf numFmtId="0" fontId="5" fillId="0" borderId="0" xfId="1" applyFont="1" applyAlignment="1">
      <alignment wrapText="1"/>
    </xf>
    <xf numFmtId="0" fontId="5" fillId="0" borderId="0" xfId="1" quotePrefix="1" applyFont="1"/>
    <xf numFmtId="164" fontId="5" fillId="0" borderId="0" xfId="1" applyNumberFormat="1" applyFont="1" applyAlignment="1">
      <alignment horizontal="center" vertical="top"/>
    </xf>
    <xf numFmtId="164" fontId="5" fillId="0" borderId="2" xfId="1" applyNumberFormat="1" applyFont="1" applyBorder="1"/>
    <xf numFmtId="164" fontId="6" fillId="0" borderId="4" xfId="1" applyNumberFormat="1" applyFont="1" applyBorder="1"/>
    <xf numFmtId="164" fontId="5" fillId="0" borderId="2" xfId="2" applyNumberFormat="1" applyFont="1" applyFill="1" applyBorder="1"/>
    <xf numFmtId="164" fontId="6" fillId="0" borderId="4" xfId="2" applyNumberFormat="1" applyFont="1" applyFill="1" applyBorder="1"/>
    <xf numFmtId="164" fontId="6" fillId="0" borderId="0" xfId="1" applyNumberFormat="1" applyFont="1"/>
    <xf numFmtId="164" fontId="6" fillId="0" borderId="0" xfId="2" applyNumberFormat="1" applyFont="1" applyFill="1" applyBorder="1"/>
    <xf numFmtId="0" fontId="10" fillId="0" borderId="2" xfId="1" applyFont="1" applyBorder="1" applyAlignment="1">
      <alignment horizontal="centerContinuous"/>
    </xf>
    <xf numFmtId="0" fontId="4" fillId="0" borderId="2" xfId="1" applyFont="1" applyBorder="1" applyAlignment="1">
      <alignment horizontal="centerContinuous"/>
    </xf>
    <xf numFmtId="9" fontId="11" fillId="0" borderId="0" xfId="3" applyFont="1" applyFill="1"/>
    <xf numFmtId="44" fontId="4" fillId="0" borderId="0" xfId="1" applyNumberFormat="1" applyFont="1"/>
    <xf numFmtId="164" fontId="6" fillId="0" borderId="2" xfId="2" applyNumberFormat="1" applyFont="1" applyFill="1" applyBorder="1"/>
    <xf numFmtId="0" fontId="5" fillId="0" borderId="0" xfId="4" applyFont="1" applyAlignment="1">
      <alignment horizontal="left" wrapText="1" indent="1"/>
    </xf>
    <xf numFmtId="0" fontId="5" fillId="0" borderId="0" xfId="4" applyFont="1" applyAlignment="1">
      <alignment horizontal="left" wrapText="1"/>
    </xf>
    <xf numFmtId="0" fontId="5" fillId="0" borderId="0" xfId="4" quotePrefix="1" applyFont="1" applyAlignment="1">
      <alignment horizontal="left" wrapText="1" indent="1"/>
    </xf>
    <xf numFmtId="43" fontId="7" fillId="0" borderId="0" xfId="2" applyFont="1" applyFill="1"/>
    <xf numFmtId="0" fontId="5" fillId="0" borderId="0" xfId="4" quotePrefix="1" applyFont="1" applyAlignment="1">
      <alignment horizontal="left" wrapText="1"/>
    </xf>
    <xf numFmtId="0" fontId="5" fillId="0" borderId="0" xfId="1" applyFont="1" applyAlignment="1">
      <alignment horizontal="left" indent="1"/>
    </xf>
    <xf numFmtId="10" fontId="5" fillId="0" borderId="0" xfId="2" applyNumberFormat="1" applyFont="1" applyFill="1"/>
    <xf numFmtId="0" fontId="5" fillId="0" borderId="0" xfId="1" applyFont="1" applyAlignment="1">
      <alignment horizontal="left" wrapText="1"/>
    </xf>
    <xf numFmtId="0" fontId="5" fillId="0" borderId="2" xfId="1" applyFont="1" applyBorder="1" applyAlignment="1">
      <alignment horizontal="centerContinuous"/>
    </xf>
    <xf numFmtId="1" fontId="7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10" fontId="7" fillId="0" borderId="0" xfId="1" applyNumberFormat="1" applyFont="1"/>
    <xf numFmtId="165" fontId="5" fillId="0" borderId="0" xfId="1" applyNumberFormat="1" applyFont="1" applyAlignment="1">
      <alignment horizontal="center" vertical="top"/>
    </xf>
    <xf numFmtId="0" fontId="5" fillId="0" borderId="0" xfId="1" quotePrefix="1" applyFont="1" applyAlignment="1">
      <alignment horizontal="center"/>
    </xf>
    <xf numFmtId="164" fontId="5" fillId="0" borderId="0" xfId="1" quotePrefix="1" applyNumberFormat="1" applyFont="1" applyAlignment="1">
      <alignment horizontal="center"/>
    </xf>
    <xf numFmtId="164" fontId="5" fillId="0" borderId="0" xfId="1" applyNumberFormat="1" applyFont="1" applyAlignment="1">
      <alignment horizontal="center" vertical="center"/>
    </xf>
    <xf numFmtId="164" fontId="5" fillId="0" borderId="0" xfId="2" applyNumberFormat="1" applyFont="1" applyFill="1" applyAlignment="1">
      <alignment horizontal="center"/>
    </xf>
    <xf numFmtId="164" fontId="5" fillId="0" borderId="0" xfId="2" applyNumberFormat="1" applyFont="1" applyFill="1" applyBorder="1" applyAlignment="1">
      <alignment horizontal="center"/>
    </xf>
    <xf numFmtId="164" fontId="6" fillId="0" borderId="1" xfId="2" applyNumberFormat="1" applyFont="1" applyFill="1" applyBorder="1" applyAlignment="1">
      <alignment horizontal="center"/>
    </xf>
    <xf numFmtId="164" fontId="6" fillId="0" borderId="4" xfId="2" applyNumberFormat="1" applyFont="1" applyFill="1" applyBorder="1" applyAlignment="1">
      <alignment horizontal="center"/>
    </xf>
    <xf numFmtId="166" fontId="7" fillId="0" borderId="0" xfId="1" applyNumberFormat="1" applyFont="1"/>
    <xf numFmtId="166" fontId="5" fillId="0" borderId="0" xfId="1" applyNumberFormat="1" applyFont="1"/>
    <xf numFmtId="166" fontId="5" fillId="0" borderId="0" xfId="1" applyNumberFormat="1" applyFont="1" applyAlignment="1">
      <alignment horizontal="center"/>
    </xf>
    <xf numFmtId="166" fontId="5" fillId="0" borderId="0" xfId="3" applyNumberFormat="1" applyFont="1" applyFill="1"/>
    <xf numFmtId="166" fontId="5" fillId="0" borderId="0" xfId="2" applyNumberFormat="1" applyFont="1" applyFill="1"/>
    <xf numFmtId="166" fontId="5" fillId="0" borderId="0" xfId="3" applyNumberFormat="1" applyFont="1" applyFill="1" applyBorder="1"/>
    <xf numFmtId="166" fontId="5" fillId="0" borderId="0" xfId="2" applyNumberFormat="1" applyFont="1" applyFill="1" applyBorder="1"/>
    <xf numFmtId="166" fontId="8" fillId="0" borderId="0" xfId="1" applyNumberFormat="1" applyFont="1"/>
    <xf numFmtId="166" fontId="6" fillId="0" borderId="1" xfId="1" applyNumberFormat="1" applyFont="1" applyBorder="1" applyAlignment="1">
      <alignment horizontal="center"/>
    </xf>
    <xf numFmtId="166" fontId="6" fillId="0" borderId="1" xfId="3" applyNumberFormat="1" applyFont="1" applyFill="1" applyBorder="1"/>
    <xf numFmtId="166" fontId="6" fillId="0" borderId="1" xfId="2" applyNumberFormat="1" applyFont="1" applyFill="1" applyBorder="1"/>
    <xf numFmtId="166" fontId="6" fillId="0" borderId="0" xfId="1" applyNumberFormat="1" applyFont="1" applyAlignment="1">
      <alignment horizontal="center"/>
    </xf>
    <xf numFmtId="166" fontId="6" fillId="0" borderId="0" xfId="3" applyNumberFormat="1" applyFont="1" applyFill="1" applyBorder="1"/>
    <xf numFmtId="166" fontId="6" fillId="0" borderId="0" xfId="2" applyNumberFormat="1" applyFont="1" applyFill="1" applyBorder="1"/>
    <xf numFmtId="166" fontId="6" fillId="0" borderId="4" xfId="1" applyNumberFormat="1" applyFont="1" applyBorder="1" applyAlignment="1">
      <alignment horizontal="center"/>
    </xf>
    <xf numFmtId="166" fontId="6" fillId="0" borderId="4" xfId="3" applyNumberFormat="1" applyFont="1" applyFill="1" applyBorder="1"/>
    <xf numFmtId="0" fontId="2" fillId="0" borderId="0" xfId="1"/>
    <xf numFmtId="0" fontId="8" fillId="0" borderId="0" xfId="1" applyFont="1" applyAlignment="1">
      <alignment horizontal="centerContinuous"/>
    </xf>
    <xf numFmtId="0" fontId="10" fillId="0" borderId="0" xfId="1" applyFont="1"/>
    <xf numFmtId="10" fontId="6" fillId="0" borderId="0" xfId="2" applyNumberFormat="1" applyFont="1" applyFill="1" applyBorder="1"/>
    <xf numFmtId="164" fontId="6" fillId="0" borderId="5" xfId="2" applyNumberFormat="1" applyFont="1" applyFill="1" applyBorder="1"/>
    <xf numFmtId="164" fontId="5" fillId="0" borderId="6" xfId="1" applyNumberFormat="1" applyFont="1" applyBorder="1" applyAlignment="1">
      <alignment horizontal="centerContinuous"/>
    </xf>
    <xf numFmtId="164" fontId="5" fillId="0" borderId="1" xfId="1" applyNumberFormat="1" applyFont="1" applyBorder="1" applyAlignment="1">
      <alignment horizontal="centerContinuous"/>
    </xf>
    <xf numFmtId="164" fontId="5" fillId="0" borderId="7" xfId="1" applyNumberFormat="1" applyFont="1" applyBorder="1" applyAlignment="1">
      <alignment horizontal="centerContinuous"/>
    </xf>
    <xf numFmtId="164" fontId="5" fillId="0" borderId="0" xfId="1" applyNumberFormat="1" applyFont="1" applyAlignment="1">
      <alignment horizontal="centerContinuous"/>
    </xf>
    <xf numFmtId="0" fontId="8" fillId="0" borderId="0" xfId="1" applyFont="1"/>
    <xf numFmtId="0" fontId="2" fillId="0" borderId="8" xfId="1" applyBorder="1" applyAlignment="1">
      <alignment horizontal="center"/>
    </xf>
    <xf numFmtId="0" fontId="2" fillId="0" borderId="9" xfId="1" applyBorder="1" applyAlignment="1">
      <alignment horizontal="center"/>
    </xf>
    <xf numFmtId="0" fontId="7" fillId="0" borderId="10" xfId="1" applyFont="1" applyBorder="1"/>
    <xf numFmtId="0" fontId="5" fillId="0" borderId="11" xfId="1" applyFont="1" applyBorder="1"/>
    <xf numFmtId="167" fontId="5" fillId="0" borderId="0" xfId="1" applyNumberFormat="1" applyFont="1"/>
    <xf numFmtId="167" fontId="5" fillId="0" borderId="0" xfId="3" applyNumberFormat="1" applyFont="1" applyFill="1" applyBorder="1"/>
    <xf numFmtId="167" fontId="5" fillId="0" borderId="11" xfId="3" applyNumberFormat="1" applyFont="1" applyFill="1" applyBorder="1"/>
    <xf numFmtId="167" fontId="4" fillId="0" borderId="0" xfId="3" applyNumberFormat="1" applyFont="1" applyFill="1" applyBorder="1"/>
    <xf numFmtId="9" fontId="4" fillId="0" borderId="0" xfId="3" applyFont="1" applyFill="1" applyBorder="1"/>
    <xf numFmtId="0" fontId="4" fillId="0" borderId="11" xfId="1" applyFont="1" applyBorder="1"/>
    <xf numFmtId="167" fontId="5" fillId="0" borderId="11" xfId="1" applyNumberFormat="1" applyFont="1" applyBorder="1"/>
    <xf numFmtId="167" fontId="6" fillId="0" borderId="0" xfId="1" applyNumberFormat="1" applyFont="1" applyAlignment="1">
      <alignment horizontal="left" indent="1"/>
    </xf>
    <xf numFmtId="167" fontId="6" fillId="0" borderId="0" xfId="1" applyNumberFormat="1" applyFont="1"/>
    <xf numFmtId="167" fontId="6" fillId="0" borderId="11" xfId="1" applyNumberFormat="1" applyFont="1" applyBorder="1"/>
    <xf numFmtId="167" fontId="4" fillId="0" borderId="0" xfId="1" applyNumberFormat="1" applyFont="1"/>
    <xf numFmtId="0" fontId="7" fillId="0" borderId="12" xfId="1" applyFont="1" applyBorder="1"/>
    <xf numFmtId="0" fontId="4" fillId="0" borderId="13" xfId="1" applyFont="1" applyBorder="1"/>
    <xf numFmtId="0" fontId="4" fillId="0" borderId="14" xfId="1" applyFont="1" applyBorder="1"/>
    <xf numFmtId="0" fontId="1" fillId="0" borderId="0" xfId="5"/>
    <xf numFmtId="0" fontId="1" fillId="0" borderId="0" xfId="6"/>
    <xf numFmtId="0" fontId="1" fillId="0" borderId="0" xfId="5" applyAlignment="1">
      <alignment horizontal="center"/>
    </xf>
    <xf numFmtId="0" fontId="1" fillId="0" borderId="0" xfId="6" applyAlignment="1">
      <alignment horizontal="center"/>
    </xf>
    <xf numFmtId="164" fontId="1" fillId="0" borderId="0" xfId="7" applyNumberFormat="1" applyFont="1" applyFill="1" applyBorder="1"/>
    <xf numFmtId="43" fontId="1" fillId="0" borderId="0" xfId="7" applyFont="1" applyFill="1" applyBorder="1"/>
    <xf numFmtId="43" fontId="1" fillId="0" borderId="0" xfId="5" applyNumberFormat="1"/>
    <xf numFmtId="10" fontId="4" fillId="0" borderId="0" xfId="1" applyNumberFormat="1" applyFont="1"/>
    <xf numFmtId="164" fontId="1" fillId="0" borderId="0" xfId="5" applyNumberFormat="1"/>
    <xf numFmtId="164" fontId="1" fillId="0" borderId="0" xfId="2" applyNumberFormat="1" applyFont="1" applyFill="1" applyBorder="1"/>
    <xf numFmtId="10" fontId="1" fillId="0" borderId="0" xfId="5" applyNumberFormat="1"/>
    <xf numFmtId="168" fontId="1" fillId="0" borderId="0" xfId="2" applyNumberFormat="1" applyFont="1" applyFill="1" applyBorder="1"/>
    <xf numFmtId="10" fontId="1" fillId="0" borderId="0" xfId="6" applyNumberFormat="1"/>
    <xf numFmtId="43" fontId="1" fillId="0" borderId="0" xfId="2" applyFont="1" applyFill="1" applyBorder="1"/>
    <xf numFmtId="10" fontId="1" fillId="0" borderId="0" xfId="2" applyNumberFormat="1" applyFont="1" applyFill="1" applyBorder="1"/>
    <xf numFmtId="43" fontId="4" fillId="0" borderId="0" xfId="1" applyNumberFormat="1" applyFont="1"/>
    <xf numFmtId="9" fontId="0" fillId="0" borderId="0" xfId="3" applyFont="1" applyAlignment="1">
      <alignment horizontal="center"/>
    </xf>
    <xf numFmtId="0" fontId="2" fillId="0" borderId="0" xfId="1" applyAlignment="1">
      <alignment horizontal="right"/>
    </xf>
    <xf numFmtId="0" fontId="4" fillId="0" borderId="0" xfId="1" applyFont="1" applyAlignment="1">
      <alignment horizontal="right"/>
    </xf>
    <xf numFmtId="169" fontId="2" fillId="0" borderId="0" xfId="1" applyNumberFormat="1" applyAlignment="1">
      <alignment horizontal="right"/>
    </xf>
    <xf numFmtId="0" fontId="3" fillId="0" borderId="0" xfId="1" applyFont="1" applyAlignment="1">
      <alignment horizontal="centerContinuous"/>
    </xf>
    <xf numFmtId="0" fontId="3" fillId="0" borderId="0" xfId="1" quotePrefix="1" applyFont="1" applyAlignment="1">
      <alignment horizontal="centerContinuous"/>
    </xf>
    <xf numFmtId="0" fontId="2" fillId="0" borderId="0" xfId="1" quotePrefix="1" applyAlignment="1">
      <alignment horizontal="center"/>
    </xf>
    <xf numFmtId="0" fontId="2" fillId="0" borderId="0" xfId="1" quotePrefix="1" applyAlignment="1">
      <alignment horizontal="centerContinuous"/>
    </xf>
    <xf numFmtId="0" fontId="4" fillId="0" borderId="0" xfId="1" quotePrefix="1" applyFont="1" applyAlignment="1">
      <alignment horizontal="center"/>
    </xf>
    <xf numFmtId="0" fontId="2" fillId="0" borderId="0" xfId="1" applyAlignment="1">
      <alignment horizontal="centerContinuous"/>
    </xf>
    <xf numFmtId="0" fontId="4" fillId="0" borderId="0" xfId="1" applyFont="1" applyAlignment="1">
      <alignment horizontal="centerContinuous"/>
    </xf>
    <xf numFmtId="43" fontId="4" fillId="0" borderId="0" xfId="2" quotePrefix="1" applyFont="1" applyAlignment="1">
      <alignment horizontal="center"/>
    </xf>
    <xf numFmtId="44" fontId="2" fillId="0" borderId="0" xfId="1" applyNumberFormat="1"/>
    <xf numFmtId="164" fontId="2" fillId="0" borderId="0" xfId="1" applyNumberFormat="1"/>
    <xf numFmtId="164" fontId="0" fillId="0" borderId="0" xfId="2" applyNumberFormat="1" applyFont="1"/>
    <xf numFmtId="10" fontId="2" fillId="0" borderId="0" xfId="1" applyNumberFormat="1"/>
    <xf numFmtId="43" fontId="2" fillId="0" borderId="0" xfId="1" applyNumberFormat="1"/>
    <xf numFmtId="164" fontId="4" fillId="0" borderId="0" xfId="1" applyNumberFormat="1" applyFont="1"/>
    <xf numFmtId="164" fontId="2" fillId="0" borderId="0" xfId="1" applyNumberFormat="1" applyAlignment="1">
      <alignment horizontal="center"/>
    </xf>
    <xf numFmtId="0" fontId="2" fillId="0" borderId="0" xfId="1" applyAlignment="1">
      <alignment horizontal="left"/>
    </xf>
    <xf numFmtId="164" fontId="4" fillId="0" borderId="0" xfId="2" applyNumberFormat="1" applyFont="1"/>
    <xf numFmtId="164" fontId="3" fillId="0" borderId="1" xfId="1" applyNumberFormat="1" applyFont="1" applyBorder="1"/>
    <xf numFmtId="2" fontId="3" fillId="0" borderId="1" xfId="1" applyNumberFormat="1" applyFont="1" applyBorder="1"/>
    <xf numFmtId="0" fontId="2" fillId="0" borderId="0" xfId="1" quotePrefix="1" applyAlignment="1">
      <alignment horizontal="left"/>
    </xf>
    <xf numFmtId="0" fontId="3" fillId="0" borderId="0" xfId="1" quotePrefix="1" applyFont="1" applyAlignment="1">
      <alignment horizontal="left"/>
    </xf>
    <xf numFmtId="164" fontId="16" fillId="0" borderId="0" xfId="1" applyNumberFormat="1" applyFont="1"/>
    <xf numFmtId="10" fontId="0" fillId="0" borderId="0" xfId="3" applyNumberFormat="1" applyFont="1"/>
    <xf numFmtId="10" fontId="5" fillId="0" borderId="0" xfId="3" applyNumberFormat="1" applyFont="1" applyAlignment="1">
      <alignment horizontal="center"/>
    </xf>
    <xf numFmtId="164" fontId="4" fillId="0" borderId="0" xfId="2" applyNumberFormat="1" applyFont="1" applyBorder="1"/>
    <xf numFmtId="10" fontId="2" fillId="0" borderId="1" xfId="1" applyNumberFormat="1" applyBorder="1" applyAlignment="1">
      <alignment horizontal="center"/>
    </xf>
    <xf numFmtId="43" fontId="4" fillId="0" borderId="0" xfId="2" applyFont="1" applyBorder="1"/>
    <xf numFmtId="164" fontId="3" fillId="0" borderId="1" xfId="2" applyNumberFormat="1" applyFont="1" applyBorder="1"/>
    <xf numFmtId="43" fontId="3" fillId="0" borderId="1" xfId="2" applyFont="1" applyBorder="1"/>
    <xf numFmtId="43" fontId="4" fillId="0" borderId="0" xfId="2" applyFont="1"/>
    <xf numFmtId="164" fontId="3" fillId="0" borderId="4" xfId="2" applyNumberFormat="1" applyFont="1" applyBorder="1"/>
    <xf numFmtId="43" fontId="3" fillId="0" borderId="4" xfId="2" applyFont="1" applyBorder="1"/>
    <xf numFmtId="3" fontId="2" fillId="0" borderId="0" xfId="1" applyNumberFormat="1"/>
    <xf numFmtId="0" fontId="15" fillId="0" borderId="0" xfId="1" applyFont="1" applyAlignment="1">
      <alignment horizontal="right"/>
    </xf>
    <xf numFmtId="164" fontId="17" fillId="0" borderId="0" xfId="1" applyNumberFormat="1" applyFont="1"/>
    <xf numFmtId="170" fontId="17" fillId="0" borderId="0" xfId="1" applyNumberFormat="1" applyFont="1"/>
    <xf numFmtId="10" fontId="2" fillId="0" borderId="0" xfId="1" applyNumberFormat="1" applyAlignment="1">
      <alignment horizontal="center"/>
    </xf>
    <xf numFmtId="0" fontId="2" fillId="0" borderId="0" xfId="1" quotePrefix="1" applyAlignment="1">
      <alignment horizontal="left" indent="1"/>
    </xf>
    <xf numFmtId="0" fontId="3" fillId="0" borderId="0" xfId="1" applyFont="1" applyAlignment="1">
      <alignment horizontal="center"/>
    </xf>
    <xf numFmtId="37" fontId="2" fillId="0" borderId="0" xfId="1" applyNumberFormat="1"/>
    <xf numFmtId="43" fontId="0" fillId="0" borderId="0" xfId="2" applyFont="1" applyFill="1"/>
    <xf numFmtId="164" fontId="2" fillId="0" borderId="2" xfId="1" applyNumberFormat="1" applyBorder="1"/>
    <xf numFmtId="37" fontId="2" fillId="0" borderId="2" xfId="1" applyNumberFormat="1" applyBorder="1"/>
    <xf numFmtId="164" fontId="3" fillId="0" borderId="0" xfId="1" applyNumberFormat="1" applyFont="1"/>
    <xf numFmtId="2" fontId="3" fillId="0" borderId="0" xfId="1" applyNumberFormat="1" applyFont="1"/>
    <xf numFmtId="43" fontId="0" fillId="0" borderId="2" xfId="2" applyFont="1" applyFill="1" applyBorder="1"/>
    <xf numFmtId="164" fontId="3" fillId="0" borderId="2" xfId="1" applyNumberFormat="1" applyFont="1" applyBorder="1"/>
    <xf numFmtId="2" fontId="3" fillId="0" borderId="2" xfId="1" applyNumberFormat="1" applyFont="1" applyBorder="1"/>
    <xf numFmtId="164" fontId="0" fillId="0" borderId="0" xfId="2" applyNumberFormat="1" applyFont="1" applyFill="1"/>
    <xf numFmtId="43" fontId="0" fillId="0" borderId="0" xfId="2" applyFont="1"/>
    <xf numFmtId="2" fontId="2" fillId="0" borderId="0" xfId="1" applyNumberFormat="1"/>
    <xf numFmtId="164" fontId="3" fillId="0" borderId="4" xfId="1" applyNumberFormat="1" applyFont="1" applyBorder="1"/>
    <xf numFmtId="171" fontId="2" fillId="0" borderId="0" xfId="1" applyNumberFormat="1"/>
    <xf numFmtId="0" fontId="2" fillId="0" borderId="0" xfId="1" applyAlignment="1">
      <alignment horizontal="left" indent="1"/>
    </xf>
    <xf numFmtId="0" fontId="18" fillId="0" borderId="0" xfId="8" applyFont="1"/>
    <xf numFmtId="0" fontId="4" fillId="0" borderId="0" xfId="1" quotePrefix="1" applyFont="1" applyAlignment="1">
      <alignment horizontal="left"/>
    </xf>
    <xf numFmtId="164" fontId="3" fillId="0" borderId="3" xfId="2" applyNumberFormat="1" applyFont="1" applyBorder="1"/>
    <xf numFmtId="43" fontId="3" fillId="0" borderId="3" xfId="2" applyFont="1" applyBorder="1"/>
    <xf numFmtId="164" fontId="0" fillId="0" borderId="0" xfId="2" applyNumberFormat="1" applyFont="1" applyBorder="1"/>
    <xf numFmtId="3" fontId="3" fillId="0" borderId="3" xfId="1" applyNumberFormat="1" applyFont="1" applyBorder="1"/>
    <xf numFmtId="43" fontId="0" fillId="0" borderId="0" xfId="2" applyFont="1" applyAlignment="1">
      <alignment horizontal="center"/>
    </xf>
    <xf numFmtId="164" fontId="4" fillId="0" borderId="0" xfId="2" applyNumberFormat="1" applyFont="1" applyFill="1"/>
    <xf numFmtId="164" fontId="4" fillId="0" borderId="0" xfId="2" applyNumberFormat="1" applyFont="1" applyFill="1" applyBorder="1"/>
    <xf numFmtId="164" fontId="19" fillId="0" borderId="0" xfId="2" applyNumberFormat="1" applyFont="1"/>
    <xf numFmtId="164" fontId="2" fillId="0" borderId="3" xfId="1" applyNumberFormat="1" applyBorder="1"/>
    <xf numFmtId="167" fontId="3" fillId="0" borderId="0" xfId="1" applyNumberFormat="1" applyFont="1"/>
    <xf numFmtId="0" fontId="2" fillId="0" borderId="0" xfId="1" quotePrefix="1" applyAlignment="1">
      <alignment horizontal="right"/>
    </xf>
    <xf numFmtId="0" fontId="2" fillId="0" borderId="2" xfId="1" applyBorder="1" applyAlignment="1">
      <alignment horizontal="left" wrapText="1"/>
    </xf>
    <xf numFmtId="0" fontId="2" fillId="0" borderId="2" xfId="1" applyBorder="1" applyAlignment="1">
      <alignment horizontal="centerContinuous"/>
    </xf>
    <xf numFmtId="164" fontId="3" fillId="0" borderId="3" xfId="1" applyNumberFormat="1" applyFont="1" applyBorder="1"/>
    <xf numFmtId="3" fontId="3" fillId="0" borderId="0" xfId="1" applyNumberFormat="1" applyFont="1"/>
    <xf numFmtId="7" fontId="0" fillId="0" borderId="0" xfId="9" applyNumberFormat="1" applyFont="1" applyBorder="1" applyAlignment="1">
      <alignment horizontal="right"/>
    </xf>
    <xf numFmtId="7" fontId="0" fillId="0" borderId="0" xfId="9" applyNumberFormat="1" applyFont="1"/>
    <xf numFmtId="0" fontId="4" fillId="0" borderId="0" xfId="1" quotePrefix="1" applyFont="1" applyAlignment="1">
      <alignment horizontal="right"/>
    </xf>
    <xf numFmtId="0" fontId="4" fillId="0" borderId="2" xfId="1" applyFont="1" applyBorder="1" applyAlignment="1">
      <alignment horizontal="center"/>
    </xf>
    <xf numFmtId="0" fontId="2" fillId="0" borderId="2" xfId="1" applyBorder="1" applyAlignment="1">
      <alignment horizontal="center"/>
    </xf>
    <xf numFmtId="0" fontId="20" fillId="0" borderId="0" xfId="1" quotePrefix="1" applyFont="1" applyAlignment="1">
      <alignment horizontal="left"/>
    </xf>
    <xf numFmtId="0" fontId="4" fillId="0" borderId="2" xfId="1" applyFont="1" applyBorder="1"/>
    <xf numFmtId="167" fontId="0" fillId="0" borderId="0" xfId="3" applyNumberFormat="1" applyFont="1" applyAlignment="1">
      <alignment horizontal="center"/>
    </xf>
    <xf numFmtId="167" fontId="2" fillId="0" borderId="0" xfId="1" applyNumberFormat="1" applyAlignment="1">
      <alignment horizontal="center"/>
    </xf>
    <xf numFmtId="167" fontId="0" fillId="0" borderId="5" xfId="3" applyNumberFormat="1" applyFont="1" applyBorder="1" applyAlignment="1">
      <alignment horizontal="center"/>
    </xf>
    <xf numFmtId="0" fontId="5" fillId="0" borderId="0" xfId="1" applyFont="1" applyAlignment="1">
      <alignment wrapText="1"/>
    </xf>
    <xf numFmtId="0" fontId="2" fillId="0" borderId="0" xfId="1"/>
    <xf numFmtId="164" fontId="5" fillId="0" borderId="0" xfId="1" applyNumberFormat="1" applyFont="1" applyAlignment="1">
      <alignment horizontal="center"/>
    </xf>
  </cellXfs>
  <cellStyles count="10">
    <cellStyle name="Comma 2" xfId="2" xr:uid="{D458EE83-D017-4A27-B11D-97F51FCC4EED}"/>
    <cellStyle name="Comma 4" xfId="7" xr:uid="{1B8BEEDD-C147-4224-B6CD-074EB3934631}"/>
    <cellStyle name="Currency 2" xfId="9" xr:uid="{637B90AB-00C4-41F2-B125-553C6E59FD42}"/>
    <cellStyle name="Normal" xfId="0" builtinId="0"/>
    <cellStyle name="Normal 2" xfId="1" xr:uid="{42FC89A8-4B4F-436B-B01D-4B2E4CDE6B69}"/>
    <cellStyle name="Normal 2 2" xfId="8" xr:uid="{7AF9BFFE-594B-4CD6-84A5-20D67294CF65}"/>
    <cellStyle name="Normal 6" xfId="5" xr:uid="{84DAB04B-6DC5-4893-8553-E406CB949E7C}"/>
    <cellStyle name="Normal 8" xfId="6" xr:uid="{02559D22-DCB7-4DCB-BA7B-1C307F4B4991}"/>
    <cellStyle name="Normal_O&amp;M" xfId="4" xr:uid="{ECA12802-CC94-4395-8B77-23D9303A2B24}"/>
    <cellStyle name="Percent 2" xfId="3" xr:uid="{C0BFA781-C8FF-48D9-A31A-0D85FE66CE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24</xdr:row>
      <xdr:rowOff>104140</xdr:rowOff>
    </xdr:from>
    <xdr:to>
      <xdr:col>5</xdr:col>
      <xdr:colOff>63500</xdr:colOff>
      <xdr:row>25</xdr:row>
      <xdr:rowOff>0</xdr:rowOff>
    </xdr:to>
    <xdr:sp macro="" textlink="">
      <xdr:nvSpPr>
        <xdr:cNvPr id="2" name="nuNumber: 1" hidden="1">
          <a:extLst>
            <a:ext uri="{FF2B5EF4-FFF2-40B4-BE49-F238E27FC236}">
              <a16:creationId xmlns:a16="http://schemas.microsoft.com/office/drawing/2014/main" id="{5E1F4968-3B6D-4252-892A-7F6FC01C9FED}"/>
            </a:ext>
          </a:extLst>
        </xdr:cNvPr>
        <xdr:cNvSpPr/>
      </xdr:nvSpPr>
      <xdr:spPr bwMode="auto">
        <a:xfrm>
          <a:off x="6191250" y="3952240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26</xdr:row>
      <xdr:rowOff>104140</xdr:rowOff>
    </xdr:from>
    <xdr:to>
      <xdr:col>5</xdr:col>
      <xdr:colOff>63500</xdr:colOff>
      <xdr:row>27</xdr:row>
      <xdr:rowOff>0</xdr:rowOff>
    </xdr:to>
    <xdr:sp macro="" textlink="">
      <xdr:nvSpPr>
        <xdr:cNvPr id="3" name="nuNumber: 2" hidden="1">
          <a:extLst>
            <a:ext uri="{FF2B5EF4-FFF2-40B4-BE49-F238E27FC236}">
              <a16:creationId xmlns:a16="http://schemas.microsoft.com/office/drawing/2014/main" id="{CE021BA3-5847-49D0-8D1E-C44B3DC24020}"/>
            </a:ext>
          </a:extLst>
        </xdr:cNvPr>
        <xdr:cNvSpPr/>
      </xdr:nvSpPr>
      <xdr:spPr bwMode="auto">
        <a:xfrm>
          <a:off x="6191250" y="4276090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27</xdr:row>
      <xdr:rowOff>104140</xdr:rowOff>
    </xdr:from>
    <xdr:to>
      <xdr:col>5</xdr:col>
      <xdr:colOff>63500</xdr:colOff>
      <xdr:row>28</xdr:row>
      <xdr:rowOff>0</xdr:rowOff>
    </xdr:to>
    <xdr:sp macro="" textlink="">
      <xdr:nvSpPr>
        <xdr:cNvPr id="4" name="nuNumber: 3" hidden="1">
          <a:extLst>
            <a:ext uri="{FF2B5EF4-FFF2-40B4-BE49-F238E27FC236}">
              <a16:creationId xmlns:a16="http://schemas.microsoft.com/office/drawing/2014/main" id="{E18231FC-2328-4AA1-8A90-F60B533F0FDF}"/>
            </a:ext>
          </a:extLst>
        </xdr:cNvPr>
        <xdr:cNvSpPr/>
      </xdr:nvSpPr>
      <xdr:spPr bwMode="auto">
        <a:xfrm>
          <a:off x="6191250" y="443801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0</xdr:colOff>
      <xdr:row>35</xdr:row>
      <xdr:rowOff>104140</xdr:rowOff>
    </xdr:from>
    <xdr:to>
      <xdr:col>2</xdr:col>
      <xdr:colOff>63500</xdr:colOff>
      <xdr:row>36</xdr:row>
      <xdr:rowOff>0</xdr:rowOff>
    </xdr:to>
    <xdr:sp macro="" textlink="">
      <xdr:nvSpPr>
        <xdr:cNvPr id="5" name="nuNumber: 4" hidden="1">
          <a:extLst>
            <a:ext uri="{FF2B5EF4-FFF2-40B4-BE49-F238E27FC236}">
              <a16:creationId xmlns:a16="http://schemas.microsoft.com/office/drawing/2014/main" id="{78CFB26E-CC61-4183-92E2-7CF81FAB59E7}"/>
            </a:ext>
          </a:extLst>
        </xdr:cNvPr>
        <xdr:cNvSpPr/>
      </xdr:nvSpPr>
      <xdr:spPr bwMode="auto">
        <a:xfrm>
          <a:off x="2733675" y="582866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0</xdr:colOff>
      <xdr:row>35</xdr:row>
      <xdr:rowOff>104140</xdr:rowOff>
    </xdr:from>
    <xdr:to>
      <xdr:col>3</xdr:col>
      <xdr:colOff>63500</xdr:colOff>
      <xdr:row>36</xdr:row>
      <xdr:rowOff>0</xdr:rowOff>
    </xdr:to>
    <xdr:sp macro="" textlink="">
      <xdr:nvSpPr>
        <xdr:cNvPr id="6" name="nuNumber: 5" hidden="1">
          <a:extLst>
            <a:ext uri="{FF2B5EF4-FFF2-40B4-BE49-F238E27FC236}">
              <a16:creationId xmlns:a16="http://schemas.microsoft.com/office/drawing/2014/main" id="{73F2D376-EB04-4786-8C60-550CCC6D9F76}"/>
            </a:ext>
          </a:extLst>
        </xdr:cNvPr>
        <xdr:cNvSpPr/>
      </xdr:nvSpPr>
      <xdr:spPr bwMode="auto">
        <a:xfrm>
          <a:off x="3943350" y="582866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224</xdr:row>
      <xdr:rowOff>104139</xdr:rowOff>
    </xdr:from>
    <xdr:to>
      <xdr:col>5</xdr:col>
      <xdr:colOff>63500</xdr:colOff>
      <xdr:row>224</xdr:row>
      <xdr:rowOff>167639</xdr:rowOff>
    </xdr:to>
    <xdr:sp macro="" textlink="">
      <xdr:nvSpPr>
        <xdr:cNvPr id="7" name="nuNumber: 6" hidden="1">
          <a:extLst>
            <a:ext uri="{FF2B5EF4-FFF2-40B4-BE49-F238E27FC236}">
              <a16:creationId xmlns:a16="http://schemas.microsoft.com/office/drawing/2014/main" id="{48D32028-A7D7-4DF4-A9F6-0901C0F07BCD}"/>
            </a:ext>
          </a:extLst>
        </xdr:cNvPr>
        <xdr:cNvSpPr/>
      </xdr:nvSpPr>
      <xdr:spPr bwMode="auto">
        <a:xfrm>
          <a:off x="6191250" y="36003864"/>
          <a:ext cx="63500" cy="5397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0</xdr:colOff>
      <xdr:row>244</xdr:row>
      <xdr:rowOff>104140</xdr:rowOff>
    </xdr:from>
    <xdr:to>
      <xdr:col>4</xdr:col>
      <xdr:colOff>63500</xdr:colOff>
      <xdr:row>245</xdr:row>
      <xdr:rowOff>0</xdr:rowOff>
    </xdr:to>
    <xdr:sp macro="" textlink="">
      <xdr:nvSpPr>
        <xdr:cNvPr id="8" name="nuNumber: 7" hidden="1">
          <a:extLst>
            <a:ext uri="{FF2B5EF4-FFF2-40B4-BE49-F238E27FC236}">
              <a16:creationId xmlns:a16="http://schemas.microsoft.com/office/drawing/2014/main" id="{5D34D5BE-89B9-4798-B2D8-08F81853EE22}"/>
            </a:ext>
          </a:extLst>
        </xdr:cNvPr>
        <xdr:cNvSpPr/>
      </xdr:nvSpPr>
      <xdr:spPr bwMode="auto">
        <a:xfrm>
          <a:off x="5210175" y="3926141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226060</xdr:rowOff>
    </xdr:from>
    <xdr:to>
      <xdr:col>0</xdr:col>
      <xdr:colOff>63500</xdr:colOff>
      <xdr:row>1</xdr:row>
      <xdr:rowOff>0</xdr:rowOff>
    </xdr:to>
    <xdr:sp macro="" textlink="">
      <xdr:nvSpPr>
        <xdr:cNvPr id="2" name="nuNumber: 1" hidden="1">
          <a:extLst>
            <a:ext uri="{FF2B5EF4-FFF2-40B4-BE49-F238E27FC236}">
              <a16:creationId xmlns:a16="http://schemas.microsoft.com/office/drawing/2014/main" id="{0BBE765E-EE99-4353-86CB-94615701ABA1}"/>
            </a:ext>
          </a:extLst>
        </xdr:cNvPr>
        <xdr:cNvSpPr/>
      </xdr:nvSpPr>
      <xdr:spPr bwMode="auto">
        <a:xfrm>
          <a:off x="0" y="226060"/>
          <a:ext cx="0" cy="6921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0</xdr:colOff>
      <xdr:row>1</xdr:row>
      <xdr:rowOff>134620</xdr:rowOff>
    </xdr:from>
    <xdr:to>
      <xdr:col>0</xdr:col>
      <xdr:colOff>63500</xdr:colOff>
      <xdr:row>2</xdr:row>
      <xdr:rowOff>0</xdr:rowOff>
    </xdr:to>
    <xdr:sp macro="" textlink="">
      <xdr:nvSpPr>
        <xdr:cNvPr id="3" name="nuNumber: 2" hidden="1">
          <a:extLst>
            <a:ext uri="{FF2B5EF4-FFF2-40B4-BE49-F238E27FC236}">
              <a16:creationId xmlns:a16="http://schemas.microsoft.com/office/drawing/2014/main" id="{FCB7231A-8090-40A0-93B0-B6EFAD560FFF}"/>
            </a:ext>
          </a:extLst>
        </xdr:cNvPr>
        <xdr:cNvSpPr/>
      </xdr:nvSpPr>
      <xdr:spPr bwMode="auto">
        <a:xfrm>
          <a:off x="0" y="429895"/>
          <a:ext cx="0" cy="6540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0</xdr:colOff>
      <xdr:row>2</xdr:row>
      <xdr:rowOff>111760</xdr:rowOff>
    </xdr:from>
    <xdr:to>
      <xdr:col>0</xdr:col>
      <xdr:colOff>63500</xdr:colOff>
      <xdr:row>3</xdr:row>
      <xdr:rowOff>0</xdr:rowOff>
    </xdr:to>
    <xdr:sp macro="" textlink="">
      <xdr:nvSpPr>
        <xdr:cNvPr id="4" name="nuNumber: 3" hidden="1">
          <a:extLst>
            <a:ext uri="{FF2B5EF4-FFF2-40B4-BE49-F238E27FC236}">
              <a16:creationId xmlns:a16="http://schemas.microsoft.com/office/drawing/2014/main" id="{B828323A-8C8C-4222-AB46-6F129B17928D}"/>
            </a:ext>
          </a:extLst>
        </xdr:cNvPr>
        <xdr:cNvSpPr/>
      </xdr:nvSpPr>
      <xdr:spPr bwMode="auto">
        <a:xfrm>
          <a:off x="0" y="607060"/>
          <a:ext cx="0" cy="9779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14</xdr:row>
      <xdr:rowOff>119380</xdr:rowOff>
    </xdr:from>
    <xdr:to>
      <xdr:col>8</xdr:col>
      <xdr:colOff>63500</xdr:colOff>
      <xdr:row>15</xdr:row>
      <xdr:rowOff>0</xdr:rowOff>
    </xdr:to>
    <xdr:sp macro="" textlink="">
      <xdr:nvSpPr>
        <xdr:cNvPr id="5" name="nuNumber: 4" hidden="1">
          <a:extLst>
            <a:ext uri="{FF2B5EF4-FFF2-40B4-BE49-F238E27FC236}">
              <a16:creationId xmlns:a16="http://schemas.microsoft.com/office/drawing/2014/main" id="{1EF31411-1DA5-42F7-91BC-EB39E7E7EFC3}"/>
            </a:ext>
          </a:extLst>
        </xdr:cNvPr>
        <xdr:cNvSpPr/>
      </xdr:nvSpPr>
      <xdr:spPr bwMode="auto">
        <a:xfrm>
          <a:off x="5562600" y="3148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14</xdr:row>
      <xdr:rowOff>119380</xdr:rowOff>
    </xdr:from>
    <xdr:to>
      <xdr:col>9</xdr:col>
      <xdr:colOff>63500</xdr:colOff>
      <xdr:row>15</xdr:row>
      <xdr:rowOff>0</xdr:rowOff>
    </xdr:to>
    <xdr:sp macro="" textlink="">
      <xdr:nvSpPr>
        <xdr:cNvPr id="6" name="nuNumber: 5" hidden="1">
          <a:extLst>
            <a:ext uri="{FF2B5EF4-FFF2-40B4-BE49-F238E27FC236}">
              <a16:creationId xmlns:a16="http://schemas.microsoft.com/office/drawing/2014/main" id="{20738F6F-05D7-46D9-B05C-62F3E1609E73}"/>
            </a:ext>
          </a:extLst>
        </xdr:cNvPr>
        <xdr:cNvSpPr/>
      </xdr:nvSpPr>
      <xdr:spPr bwMode="auto">
        <a:xfrm>
          <a:off x="6467475" y="3148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14</xdr:row>
      <xdr:rowOff>119380</xdr:rowOff>
    </xdr:from>
    <xdr:to>
      <xdr:col>9</xdr:col>
      <xdr:colOff>63500</xdr:colOff>
      <xdr:row>15</xdr:row>
      <xdr:rowOff>0</xdr:rowOff>
    </xdr:to>
    <xdr:sp macro="" textlink="">
      <xdr:nvSpPr>
        <xdr:cNvPr id="7" name="nuNumber: 6" hidden="1">
          <a:extLst>
            <a:ext uri="{FF2B5EF4-FFF2-40B4-BE49-F238E27FC236}">
              <a16:creationId xmlns:a16="http://schemas.microsoft.com/office/drawing/2014/main" id="{4A14DF18-A27B-4BEE-AEB1-7895F397895D}"/>
            </a:ext>
          </a:extLst>
        </xdr:cNvPr>
        <xdr:cNvSpPr/>
      </xdr:nvSpPr>
      <xdr:spPr bwMode="auto">
        <a:xfrm>
          <a:off x="6467475" y="3148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14</xdr:row>
      <xdr:rowOff>119380</xdr:rowOff>
    </xdr:from>
    <xdr:to>
      <xdr:col>10</xdr:col>
      <xdr:colOff>63500</xdr:colOff>
      <xdr:row>15</xdr:row>
      <xdr:rowOff>0</xdr:rowOff>
    </xdr:to>
    <xdr:sp macro="" textlink="">
      <xdr:nvSpPr>
        <xdr:cNvPr id="8" name="nuNumber: 7" hidden="1">
          <a:extLst>
            <a:ext uri="{FF2B5EF4-FFF2-40B4-BE49-F238E27FC236}">
              <a16:creationId xmlns:a16="http://schemas.microsoft.com/office/drawing/2014/main" id="{FA6C9464-C487-4DCF-A660-D9C55C05C7F2}"/>
            </a:ext>
          </a:extLst>
        </xdr:cNvPr>
        <xdr:cNvSpPr/>
      </xdr:nvSpPr>
      <xdr:spPr bwMode="auto">
        <a:xfrm>
          <a:off x="7315200" y="3148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14</xdr:row>
      <xdr:rowOff>119380</xdr:rowOff>
    </xdr:from>
    <xdr:to>
      <xdr:col>11</xdr:col>
      <xdr:colOff>63500</xdr:colOff>
      <xdr:row>15</xdr:row>
      <xdr:rowOff>0</xdr:rowOff>
    </xdr:to>
    <xdr:sp macro="" textlink="">
      <xdr:nvSpPr>
        <xdr:cNvPr id="9" name="nuNumber: 8" hidden="1">
          <a:extLst>
            <a:ext uri="{FF2B5EF4-FFF2-40B4-BE49-F238E27FC236}">
              <a16:creationId xmlns:a16="http://schemas.microsoft.com/office/drawing/2014/main" id="{ADE0A77E-EEB8-40E2-A2BA-08A6C18D1EEF}"/>
            </a:ext>
          </a:extLst>
        </xdr:cNvPr>
        <xdr:cNvSpPr/>
      </xdr:nvSpPr>
      <xdr:spPr bwMode="auto">
        <a:xfrm>
          <a:off x="8105775" y="3148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14</xdr:row>
      <xdr:rowOff>119380</xdr:rowOff>
    </xdr:from>
    <xdr:to>
      <xdr:col>12</xdr:col>
      <xdr:colOff>63500</xdr:colOff>
      <xdr:row>15</xdr:row>
      <xdr:rowOff>0</xdr:rowOff>
    </xdr:to>
    <xdr:sp macro="" textlink="">
      <xdr:nvSpPr>
        <xdr:cNvPr id="10" name="nuNumber: 9" hidden="1">
          <a:extLst>
            <a:ext uri="{FF2B5EF4-FFF2-40B4-BE49-F238E27FC236}">
              <a16:creationId xmlns:a16="http://schemas.microsoft.com/office/drawing/2014/main" id="{236FE8D4-7D28-4E26-B597-A328404E0250}"/>
            </a:ext>
          </a:extLst>
        </xdr:cNvPr>
        <xdr:cNvSpPr/>
      </xdr:nvSpPr>
      <xdr:spPr bwMode="auto">
        <a:xfrm>
          <a:off x="8972550" y="3148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14</xdr:row>
      <xdr:rowOff>119380</xdr:rowOff>
    </xdr:from>
    <xdr:to>
      <xdr:col>13</xdr:col>
      <xdr:colOff>63500</xdr:colOff>
      <xdr:row>15</xdr:row>
      <xdr:rowOff>0</xdr:rowOff>
    </xdr:to>
    <xdr:sp macro="" textlink="">
      <xdr:nvSpPr>
        <xdr:cNvPr id="11" name="nuNumber: 10" hidden="1">
          <a:extLst>
            <a:ext uri="{FF2B5EF4-FFF2-40B4-BE49-F238E27FC236}">
              <a16:creationId xmlns:a16="http://schemas.microsoft.com/office/drawing/2014/main" id="{C8D395C0-7670-43AC-837D-37D4F8862BAE}"/>
            </a:ext>
          </a:extLst>
        </xdr:cNvPr>
        <xdr:cNvSpPr/>
      </xdr:nvSpPr>
      <xdr:spPr bwMode="auto">
        <a:xfrm>
          <a:off x="9753600" y="3148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14</xdr:row>
      <xdr:rowOff>119380</xdr:rowOff>
    </xdr:from>
    <xdr:to>
      <xdr:col>14</xdr:col>
      <xdr:colOff>63500</xdr:colOff>
      <xdr:row>15</xdr:row>
      <xdr:rowOff>0</xdr:rowOff>
    </xdr:to>
    <xdr:sp macro="" textlink="">
      <xdr:nvSpPr>
        <xdr:cNvPr id="12" name="nuNumber: 11" hidden="1">
          <a:extLst>
            <a:ext uri="{FF2B5EF4-FFF2-40B4-BE49-F238E27FC236}">
              <a16:creationId xmlns:a16="http://schemas.microsoft.com/office/drawing/2014/main" id="{9EF569DA-5B75-4891-A543-35C77912DFC0}"/>
            </a:ext>
          </a:extLst>
        </xdr:cNvPr>
        <xdr:cNvSpPr/>
      </xdr:nvSpPr>
      <xdr:spPr bwMode="auto">
        <a:xfrm>
          <a:off x="10515600" y="3148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14</xdr:row>
      <xdr:rowOff>119380</xdr:rowOff>
    </xdr:from>
    <xdr:to>
      <xdr:col>15</xdr:col>
      <xdr:colOff>63500</xdr:colOff>
      <xdr:row>15</xdr:row>
      <xdr:rowOff>0</xdr:rowOff>
    </xdr:to>
    <xdr:sp macro="" textlink="">
      <xdr:nvSpPr>
        <xdr:cNvPr id="13" name="nuNumber: 12" hidden="1">
          <a:extLst>
            <a:ext uri="{FF2B5EF4-FFF2-40B4-BE49-F238E27FC236}">
              <a16:creationId xmlns:a16="http://schemas.microsoft.com/office/drawing/2014/main" id="{3CED4899-2DEB-4580-9DBB-99379302ACEC}"/>
            </a:ext>
          </a:extLst>
        </xdr:cNvPr>
        <xdr:cNvSpPr/>
      </xdr:nvSpPr>
      <xdr:spPr bwMode="auto">
        <a:xfrm>
          <a:off x="11325225" y="3148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14</xdr:row>
      <xdr:rowOff>119380</xdr:rowOff>
    </xdr:from>
    <xdr:to>
      <xdr:col>16</xdr:col>
      <xdr:colOff>63500</xdr:colOff>
      <xdr:row>15</xdr:row>
      <xdr:rowOff>0</xdr:rowOff>
    </xdr:to>
    <xdr:sp macro="" textlink="">
      <xdr:nvSpPr>
        <xdr:cNvPr id="14" name="nuNumber: 13" hidden="1">
          <a:extLst>
            <a:ext uri="{FF2B5EF4-FFF2-40B4-BE49-F238E27FC236}">
              <a16:creationId xmlns:a16="http://schemas.microsoft.com/office/drawing/2014/main" id="{445BE3B3-26FC-4F08-84DB-22B819BF03FC}"/>
            </a:ext>
          </a:extLst>
        </xdr:cNvPr>
        <xdr:cNvSpPr/>
      </xdr:nvSpPr>
      <xdr:spPr bwMode="auto">
        <a:xfrm>
          <a:off x="12106275" y="3148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14</xdr:row>
      <xdr:rowOff>119380</xdr:rowOff>
    </xdr:from>
    <xdr:to>
      <xdr:col>17</xdr:col>
      <xdr:colOff>63500</xdr:colOff>
      <xdr:row>15</xdr:row>
      <xdr:rowOff>0</xdr:rowOff>
    </xdr:to>
    <xdr:sp macro="" textlink="">
      <xdr:nvSpPr>
        <xdr:cNvPr id="15" name="nuNumber: 14" hidden="1">
          <a:extLst>
            <a:ext uri="{FF2B5EF4-FFF2-40B4-BE49-F238E27FC236}">
              <a16:creationId xmlns:a16="http://schemas.microsoft.com/office/drawing/2014/main" id="{D0F049A7-D9BF-41FA-ABB0-6FED7A6B2AA1}"/>
            </a:ext>
          </a:extLst>
        </xdr:cNvPr>
        <xdr:cNvSpPr/>
      </xdr:nvSpPr>
      <xdr:spPr bwMode="auto">
        <a:xfrm>
          <a:off x="12887325" y="3148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14</xdr:row>
      <xdr:rowOff>119380</xdr:rowOff>
    </xdr:from>
    <xdr:to>
      <xdr:col>18</xdr:col>
      <xdr:colOff>63499</xdr:colOff>
      <xdr:row>15</xdr:row>
      <xdr:rowOff>0</xdr:rowOff>
    </xdr:to>
    <xdr:sp macro="" textlink="">
      <xdr:nvSpPr>
        <xdr:cNvPr id="16" name="nuNumber: 15" hidden="1">
          <a:extLst>
            <a:ext uri="{FF2B5EF4-FFF2-40B4-BE49-F238E27FC236}">
              <a16:creationId xmlns:a16="http://schemas.microsoft.com/office/drawing/2014/main" id="{F60D704C-1F21-40DE-9BE7-1D64FAA4252C}"/>
            </a:ext>
          </a:extLst>
        </xdr:cNvPr>
        <xdr:cNvSpPr/>
      </xdr:nvSpPr>
      <xdr:spPr bwMode="auto">
        <a:xfrm>
          <a:off x="13624559" y="314833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14</xdr:row>
      <xdr:rowOff>119380</xdr:rowOff>
    </xdr:from>
    <xdr:to>
      <xdr:col>19</xdr:col>
      <xdr:colOff>63500</xdr:colOff>
      <xdr:row>15</xdr:row>
      <xdr:rowOff>0</xdr:rowOff>
    </xdr:to>
    <xdr:sp macro="" textlink="">
      <xdr:nvSpPr>
        <xdr:cNvPr id="17" name="nuNumber: 16" hidden="1">
          <a:extLst>
            <a:ext uri="{FF2B5EF4-FFF2-40B4-BE49-F238E27FC236}">
              <a16:creationId xmlns:a16="http://schemas.microsoft.com/office/drawing/2014/main" id="{3A1F8F96-9D32-4785-903A-31C95F9094C4}"/>
            </a:ext>
          </a:extLst>
        </xdr:cNvPr>
        <xdr:cNvSpPr/>
      </xdr:nvSpPr>
      <xdr:spPr bwMode="auto">
        <a:xfrm>
          <a:off x="14382750" y="3148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14</xdr:row>
      <xdr:rowOff>119380</xdr:rowOff>
    </xdr:from>
    <xdr:to>
      <xdr:col>20</xdr:col>
      <xdr:colOff>63500</xdr:colOff>
      <xdr:row>15</xdr:row>
      <xdr:rowOff>0</xdr:rowOff>
    </xdr:to>
    <xdr:sp macro="" textlink="">
      <xdr:nvSpPr>
        <xdr:cNvPr id="18" name="nuNumber: 17" hidden="1">
          <a:extLst>
            <a:ext uri="{FF2B5EF4-FFF2-40B4-BE49-F238E27FC236}">
              <a16:creationId xmlns:a16="http://schemas.microsoft.com/office/drawing/2014/main" id="{1CB585C1-E291-45DA-B6DE-66AEE216515D}"/>
            </a:ext>
          </a:extLst>
        </xdr:cNvPr>
        <xdr:cNvSpPr/>
      </xdr:nvSpPr>
      <xdr:spPr bwMode="auto">
        <a:xfrm>
          <a:off x="15135225" y="3148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14</xdr:row>
      <xdr:rowOff>119380</xdr:rowOff>
    </xdr:from>
    <xdr:to>
      <xdr:col>21</xdr:col>
      <xdr:colOff>63500</xdr:colOff>
      <xdr:row>15</xdr:row>
      <xdr:rowOff>0</xdr:rowOff>
    </xdr:to>
    <xdr:sp macro="" textlink="">
      <xdr:nvSpPr>
        <xdr:cNvPr id="19" name="nuNumber: 18" hidden="1">
          <a:extLst>
            <a:ext uri="{FF2B5EF4-FFF2-40B4-BE49-F238E27FC236}">
              <a16:creationId xmlns:a16="http://schemas.microsoft.com/office/drawing/2014/main" id="{18B72D1E-AFC7-4143-A215-1757812DC417}"/>
            </a:ext>
          </a:extLst>
        </xdr:cNvPr>
        <xdr:cNvSpPr/>
      </xdr:nvSpPr>
      <xdr:spPr bwMode="auto">
        <a:xfrm>
          <a:off x="15849600" y="3148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15</xdr:row>
      <xdr:rowOff>119380</xdr:rowOff>
    </xdr:from>
    <xdr:to>
      <xdr:col>8</xdr:col>
      <xdr:colOff>63500</xdr:colOff>
      <xdr:row>16</xdr:row>
      <xdr:rowOff>0</xdr:rowOff>
    </xdr:to>
    <xdr:sp macro="" textlink="">
      <xdr:nvSpPr>
        <xdr:cNvPr id="20" name="nuNumber: 19" hidden="1">
          <a:extLst>
            <a:ext uri="{FF2B5EF4-FFF2-40B4-BE49-F238E27FC236}">
              <a16:creationId xmlns:a16="http://schemas.microsoft.com/office/drawing/2014/main" id="{B8E920E1-B09C-48EB-8A7C-BC4248AC03E5}"/>
            </a:ext>
          </a:extLst>
        </xdr:cNvPr>
        <xdr:cNvSpPr/>
      </xdr:nvSpPr>
      <xdr:spPr bwMode="auto">
        <a:xfrm>
          <a:off x="5562600" y="3357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15</xdr:row>
      <xdr:rowOff>119380</xdr:rowOff>
    </xdr:from>
    <xdr:to>
      <xdr:col>9</xdr:col>
      <xdr:colOff>63500</xdr:colOff>
      <xdr:row>16</xdr:row>
      <xdr:rowOff>0</xdr:rowOff>
    </xdr:to>
    <xdr:sp macro="" textlink="">
      <xdr:nvSpPr>
        <xdr:cNvPr id="21" name="nuNumber: 20" hidden="1">
          <a:extLst>
            <a:ext uri="{FF2B5EF4-FFF2-40B4-BE49-F238E27FC236}">
              <a16:creationId xmlns:a16="http://schemas.microsoft.com/office/drawing/2014/main" id="{4E75E193-F03A-4BA2-981D-C81FE2A3DCEC}"/>
            </a:ext>
          </a:extLst>
        </xdr:cNvPr>
        <xdr:cNvSpPr/>
      </xdr:nvSpPr>
      <xdr:spPr bwMode="auto">
        <a:xfrm>
          <a:off x="6467475" y="3357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15</xdr:row>
      <xdr:rowOff>119380</xdr:rowOff>
    </xdr:from>
    <xdr:to>
      <xdr:col>9</xdr:col>
      <xdr:colOff>63500</xdr:colOff>
      <xdr:row>16</xdr:row>
      <xdr:rowOff>0</xdr:rowOff>
    </xdr:to>
    <xdr:sp macro="" textlink="">
      <xdr:nvSpPr>
        <xdr:cNvPr id="22" name="nuNumber: 21" hidden="1">
          <a:extLst>
            <a:ext uri="{FF2B5EF4-FFF2-40B4-BE49-F238E27FC236}">
              <a16:creationId xmlns:a16="http://schemas.microsoft.com/office/drawing/2014/main" id="{5D4C6A6D-3501-484B-A6D8-5050818D1A37}"/>
            </a:ext>
          </a:extLst>
        </xdr:cNvPr>
        <xdr:cNvSpPr/>
      </xdr:nvSpPr>
      <xdr:spPr bwMode="auto">
        <a:xfrm>
          <a:off x="6467475" y="3357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15</xdr:row>
      <xdr:rowOff>119380</xdr:rowOff>
    </xdr:from>
    <xdr:to>
      <xdr:col>10</xdr:col>
      <xdr:colOff>63500</xdr:colOff>
      <xdr:row>16</xdr:row>
      <xdr:rowOff>0</xdr:rowOff>
    </xdr:to>
    <xdr:sp macro="" textlink="">
      <xdr:nvSpPr>
        <xdr:cNvPr id="23" name="nuNumber: 22" hidden="1">
          <a:extLst>
            <a:ext uri="{FF2B5EF4-FFF2-40B4-BE49-F238E27FC236}">
              <a16:creationId xmlns:a16="http://schemas.microsoft.com/office/drawing/2014/main" id="{72B4576B-B8A6-407A-A35B-8C27D50C6B69}"/>
            </a:ext>
          </a:extLst>
        </xdr:cNvPr>
        <xdr:cNvSpPr/>
      </xdr:nvSpPr>
      <xdr:spPr bwMode="auto">
        <a:xfrm>
          <a:off x="7315200" y="3357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15</xdr:row>
      <xdr:rowOff>119380</xdr:rowOff>
    </xdr:from>
    <xdr:to>
      <xdr:col>11</xdr:col>
      <xdr:colOff>63500</xdr:colOff>
      <xdr:row>16</xdr:row>
      <xdr:rowOff>0</xdr:rowOff>
    </xdr:to>
    <xdr:sp macro="" textlink="">
      <xdr:nvSpPr>
        <xdr:cNvPr id="24" name="nuNumber: 23" hidden="1">
          <a:extLst>
            <a:ext uri="{FF2B5EF4-FFF2-40B4-BE49-F238E27FC236}">
              <a16:creationId xmlns:a16="http://schemas.microsoft.com/office/drawing/2014/main" id="{0E33FAB3-02FE-4E7E-B519-6625009C76BE}"/>
            </a:ext>
          </a:extLst>
        </xdr:cNvPr>
        <xdr:cNvSpPr/>
      </xdr:nvSpPr>
      <xdr:spPr bwMode="auto">
        <a:xfrm>
          <a:off x="8105775" y="3357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15</xdr:row>
      <xdr:rowOff>119380</xdr:rowOff>
    </xdr:from>
    <xdr:to>
      <xdr:col>12</xdr:col>
      <xdr:colOff>63500</xdr:colOff>
      <xdr:row>16</xdr:row>
      <xdr:rowOff>0</xdr:rowOff>
    </xdr:to>
    <xdr:sp macro="" textlink="">
      <xdr:nvSpPr>
        <xdr:cNvPr id="25" name="nuNumber: 24" hidden="1">
          <a:extLst>
            <a:ext uri="{FF2B5EF4-FFF2-40B4-BE49-F238E27FC236}">
              <a16:creationId xmlns:a16="http://schemas.microsoft.com/office/drawing/2014/main" id="{3CBC9576-0416-43E7-8E2D-6472FBCF3366}"/>
            </a:ext>
          </a:extLst>
        </xdr:cNvPr>
        <xdr:cNvSpPr/>
      </xdr:nvSpPr>
      <xdr:spPr bwMode="auto">
        <a:xfrm>
          <a:off x="8972550" y="3357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15</xdr:row>
      <xdr:rowOff>119380</xdr:rowOff>
    </xdr:from>
    <xdr:to>
      <xdr:col>13</xdr:col>
      <xdr:colOff>63500</xdr:colOff>
      <xdr:row>16</xdr:row>
      <xdr:rowOff>0</xdr:rowOff>
    </xdr:to>
    <xdr:sp macro="" textlink="">
      <xdr:nvSpPr>
        <xdr:cNvPr id="26" name="nuNumber: 25" hidden="1">
          <a:extLst>
            <a:ext uri="{FF2B5EF4-FFF2-40B4-BE49-F238E27FC236}">
              <a16:creationId xmlns:a16="http://schemas.microsoft.com/office/drawing/2014/main" id="{C6F6697C-7020-474B-905C-A7088281AADA}"/>
            </a:ext>
          </a:extLst>
        </xdr:cNvPr>
        <xdr:cNvSpPr/>
      </xdr:nvSpPr>
      <xdr:spPr bwMode="auto">
        <a:xfrm>
          <a:off x="9753600" y="3357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15</xdr:row>
      <xdr:rowOff>119380</xdr:rowOff>
    </xdr:from>
    <xdr:to>
      <xdr:col>14</xdr:col>
      <xdr:colOff>63500</xdr:colOff>
      <xdr:row>16</xdr:row>
      <xdr:rowOff>0</xdr:rowOff>
    </xdr:to>
    <xdr:sp macro="" textlink="">
      <xdr:nvSpPr>
        <xdr:cNvPr id="27" name="nuNumber: 26" hidden="1">
          <a:extLst>
            <a:ext uri="{FF2B5EF4-FFF2-40B4-BE49-F238E27FC236}">
              <a16:creationId xmlns:a16="http://schemas.microsoft.com/office/drawing/2014/main" id="{1E769E12-4AE1-4DCD-B5F2-410202182277}"/>
            </a:ext>
          </a:extLst>
        </xdr:cNvPr>
        <xdr:cNvSpPr/>
      </xdr:nvSpPr>
      <xdr:spPr bwMode="auto">
        <a:xfrm>
          <a:off x="10515600" y="3357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15</xdr:row>
      <xdr:rowOff>119380</xdr:rowOff>
    </xdr:from>
    <xdr:to>
      <xdr:col>15</xdr:col>
      <xdr:colOff>63500</xdr:colOff>
      <xdr:row>16</xdr:row>
      <xdr:rowOff>0</xdr:rowOff>
    </xdr:to>
    <xdr:sp macro="" textlink="">
      <xdr:nvSpPr>
        <xdr:cNvPr id="28" name="nuNumber: 27" hidden="1">
          <a:extLst>
            <a:ext uri="{FF2B5EF4-FFF2-40B4-BE49-F238E27FC236}">
              <a16:creationId xmlns:a16="http://schemas.microsoft.com/office/drawing/2014/main" id="{8C1729C8-D55A-489A-8CEC-3AE4C77DDDA3}"/>
            </a:ext>
          </a:extLst>
        </xdr:cNvPr>
        <xdr:cNvSpPr/>
      </xdr:nvSpPr>
      <xdr:spPr bwMode="auto">
        <a:xfrm>
          <a:off x="11325225" y="3357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15</xdr:row>
      <xdr:rowOff>119380</xdr:rowOff>
    </xdr:from>
    <xdr:to>
      <xdr:col>16</xdr:col>
      <xdr:colOff>63500</xdr:colOff>
      <xdr:row>16</xdr:row>
      <xdr:rowOff>0</xdr:rowOff>
    </xdr:to>
    <xdr:sp macro="" textlink="">
      <xdr:nvSpPr>
        <xdr:cNvPr id="29" name="nuNumber: 28" hidden="1">
          <a:extLst>
            <a:ext uri="{FF2B5EF4-FFF2-40B4-BE49-F238E27FC236}">
              <a16:creationId xmlns:a16="http://schemas.microsoft.com/office/drawing/2014/main" id="{D1F9CF3A-6E99-4E47-AED3-2B5648E4B5AA}"/>
            </a:ext>
          </a:extLst>
        </xdr:cNvPr>
        <xdr:cNvSpPr/>
      </xdr:nvSpPr>
      <xdr:spPr bwMode="auto">
        <a:xfrm>
          <a:off x="12106275" y="3357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15</xdr:row>
      <xdr:rowOff>119380</xdr:rowOff>
    </xdr:from>
    <xdr:to>
      <xdr:col>17</xdr:col>
      <xdr:colOff>63500</xdr:colOff>
      <xdr:row>16</xdr:row>
      <xdr:rowOff>0</xdr:rowOff>
    </xdr:to>
    <xdr:sp macro="" textlink="">
      <xdr:nvSpPr>
        <xdr:cNvPr id="30" name="nuNumber: 29" hidden="1">
          <a:extLst>
            <a:ext uri="{FF2B5EF4-FFF2-40B4-BE49-F238E27FC236}">
              <a16:creationId xmlns:a16="http://schemas.microsoft.com/office/drawing/2014/main" id="{8915B086-B597-46C0-8186-20F1DB0C622B}"/>
            </a:ext>
          </a:extLst>
        </xdr:cNvPr>
        <xdr:cNvSpPr/>
      </xdr:nvSpPr>
      <xdr:spPr bwMode="auto">
        <a:xfrm>
          <a:off x="12887325" y="3357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15</xdr:row>
      <xdr:rowOff>119380</xdr:rowOff>
    </xdr:from>
    <xdr:to>
      <xdr:col>18</xdr:col>
      <xdr:colOff>63499</xdr:colOff>
      <xdr:row>16</xdr:row>
      <xdr:rowOff>0</xdr:rowOff>
    </xdr:to>
    <xdr:sp macro="" textlink="">
      <xdr:nvSpPr>
        <xdr:cNvPr id="31" name="nuNumber: 30" hidden="1">
          <a:extLst>
            <a:ext uri="{FF2B5EF4-FFF2-40B4-BE49-F238E27FC236}">
              <a16:creationId xmlns:a16="http://schemas.microsoft.com/office/drawing/2014/main" id="{64AB76C1-2B24-483F-A5A2-EF412DF3B6A9}"/>
            </a:ext>
          </a:extLst>
        </xdr:cNvPr>
        <xdr:cNvSpPr/>
      </xdr:nvSpPr>
      <xdr:spPr bwMode="auto">
        <a:xfrm>
          <a:off x="13624559" y="335788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15</xdr:row>
      <xdr:rowOff>119380</xdr:rowOff>
    </xdr:from>
    <xdr:to>
      <xdr:col>19</xdr:col>
      <xdr:colOff>63500</xdr:colOff>
      <xdr:row>16</xdr:row>
      <xdr:rowOff>0</xdr:rowOff>
    </xdr:to>
    <xdr:sp macro="" textlink="">
      <xdr:nvSpPr>
        <xdr:cNvPr id="32" name="nuNumber: 31" hidden="1">
          <a:extLst>
            <a:ext uri="{FF2B5EF4-FFF2-40B4-BE49-F238E27FC236}">
              <a16:creationId xmlns:a16="http://schemas.microsoft.com/office/drawing/2014/main" id="{B12EC308-9C21-4D77-A9FA-B628B91DD3A8}"/>
            </a:ext>
          </a:extLst>
        </xdr:cNvPr>
        <xdr:cNvSpPr/>
      </xdr:nvSpPr>
      <xdr:spPr bwMode="auto">
        <a:xfrm>
          <a:off x="14382750" y="3357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15</xdr:row>
      <xdr:rowOff>119380</xdr:rowOff>
    </xdr:from>
    <xdr:to>
      <xdr:col>20</xdr:col>
      <xdr:colOff>63500</xdr:colOff>
      <xdr:row>16</xdr:row>
      <xdr:rowOff>0</xdr:rowOff>
    </xdr:to>
    <xdr:sp macro="" textlink="">
      <xdr:nvSpPr>
        <xdr:cNvPr id="33" name="nuNumber: 32" hidden="1">
          <a:extLst>
            <a:ext uri="{FF2B5EF4-FFF2-40B4-BE49-F238E27FC236}">
              <a16:creationId xmlns:a16="http://schemas.microsoft.com/office/drawing/2014/main" id="{5C565D1E-E0CA-4400-90C9-93B40791E9D2}"/>
            </a:ext>
          </a:extLst>
        </xdr:cNvPr>
        <xdr:cNvSpPr/>
      </xdr:nvSpPr>
      <xdr:spPr bwMode="auto">
        <a:xfrm>
          <a:off x="15135225" y="3357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15</xdr:row>
      <xdr:rowOff>119380</xdr:rowOff>
    </xdr:from>
    <xdr:to>
      <xdr:col>21</xdr:col>
      <xdr:colOff>63500</xdr:colOff>
      <xdr:row>16</xdr:row>
      <xdr:rowOff>0</xdr:rowOff>
    </xdr:to>
    <xdr:sp macro="" textlink="">
      <xdr:nvSpPr>
        <xdr:cNvPr id="34" name="nuNumber: 33" hidden="1">
          <a:extLst>
            <a:ext uri="{FF2B5EF4-FFF2-40B4-BE49-F238E27FC236}">
              <a16:creationId xmlns:a16="http://schemas.microsoft.com/office/drawing/2014/main" id="{23C8794F-3F8A-4A74-9028-2F9C32DA6204}"/>
            </a:ext>
          </a:extLst>
        </xdr:cNvPr>
        <xdr:cNvSpPr/>
      </xdr:nvSpPr>
      <xdr:spPr bwMode="auto">
        <a:xfrm>
          <a:off x="15849600" y="3357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16</xdr:row>
      <xdr:rowOff>119380</xdr:rowOff>
    </xdr:from>
    <xdr:to>
      <xdr:col>8</xdr:col>
      <xdr:colOff>63500</xdr:colOff>
      <xdr:row>17</xdr:row>
      <xdr:rowOff>0</xdr:rowOff>
    </xdr:to>
    <xdr:sp macro="" textlink="">
      <xdr:nvSpPr>
        <xdr:cNvPr id="35" name="nuNumber: 34" hidden="1">
          <a:extLst>
            <a:ext uri="{FF2B5EF4-FFF2-40B4-BE49-F238E27FC236}">
              <a16:creationId xmlns:a16="http://schemas.microsoft.com/office/drawing/2014/main" id="{7C358AD9-A93A-43D3-AAA6-D0CABDF5A560}"/>
            </a:ext>
          </a:extLst>
        </xdr:cNvPr>
        <xdr:cNvSpPr/>
      </xdr:nvSpPr>
      <xdr:spPr bwMode="auto">
        <a:xfrm>
          <a:off x="5562600" y="3567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16</xdr:row>
      <xdr:rowOff>119380</xdr:rowOff>
    </xdr:from>
    <xdr:to>
      <xdr:col>9</xdr:col>
      <xdr:colOff>63500</xdr:colOff>
      <xdr:row>17</xdr:row>
      <xdr:rowOff>0</xdr:rowOff>
    </xdr:to>
    <xdr:sp macro="" textlink="">
      <xdr:nvSpPr>
        <xdr:cNvPr id="36" name="nuNumber: 35" hidden="1">
          <a:extLst>
            <a:ext uri="{FF2B5EF4-FFF2-40B4-BE49-F238E27FC236}">
              <a16:creationId xmlns:a16="http://schemas.microsoft.com/office/drawing/2014/main" id="{852BAF35-F948-49C7-97E6-008502A2A50A}"/>
            </a:ext>
          </a:extLst>
        </xdr:cNvPr>
        <xdr:cNvSpPr/>
      </xdr:nvSpPr>
      <xdr:spPr bwMode="auto">
        <a:xfrm>
          <a:off x="6467475" y="3567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16</xdr:row>
      <xdr:rowOff>119380</xdr:rowOff>
    </xdr:from>
    <xdr:to>
      <xdr:col>9</xdr:col>
      <xdr:colOff>63500</xdr:colOff>
      <xdr:row>17</xdr:row>
      <xdr:rowOff>0</xdr:rowOff>
    </xdr:to>
    <xdr:sp macro="" textlink="">
      <xdr:nvSpPr>
        <xdr:cNvPr id="37" name="nuNumber: 36" hidden="1">
          <a:extLst>
            <a:ext uri="{FF2B5EF4-FFF2-40B4-BE49-F238E27FC236}">
              <a16:creationId xmlns:a16="http://schemas.microsoft.com/office/drawing/2014/main" id="{E69D31B0-C96B-40EB-936A-F3D5CB3EF738}"/>
            </a:ext>
          </a:extLst>
        </xdr:cNvPr>
        <xdr:cNvSpPr/>
      </xdr:nvSpPr>
      <xdr:spPr bwMode="auto">
        <a:xfrm>
          <a:off x="6467475" y="3567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16</xdr:row>
      <xdr:rowOff>119380</xdr:rowOff>
    </xdr:from>
    <xdr:to>
      <xdr:col>10</xdr:col>
      <xdr:colOff>63500</xdr:colOff>
      <xdr:row>17</xdr:row>
      <xdr:rowOff>0</xdr:rowOff>
    </xdr:to>
    <xdr:sp macro="" textlink="">
      <xdr:nvSpPr>
        <xdr:cNvPr id="38" name="nuNumber: 37" hidden="1">
          <a:extLst>
            <a:ext uri="{FF2B5EF4-FFF2-40B4-BE49-F238E27FC236}">
              <a16:creationId xmlns:a16="http://schemas.microsoft.com/office/drawing/2014/main" id="{7D324492-B18A-4451-9E32-561509427EAE}"/>
            </a:ext>
          </a:extLst>
        </xdr:cNvPr>
        <xdr:cNvSpPr/>
      </xdr:nvSpPr>
      <xdr:spPr bwMode="auto">
        <a:xfrm>
          <a:off x="7315200" y="3567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16</xdr:row>
      <xdr:rowOff>119380</xdr:rowOff>
    </xdr:from>
    <xdr:to>
      <xdr:col>11</xdr:col>
      <xdr:colOff>63500</xdr:colOff>
      <xdr:row>17</xdr:row>
      <xdr:rowOff>0</xdr:rowOff>
    </xdr:to>
    <xdr:sp macro="" textlink="">
      <xdr:nvSpPr>
        <xdr:cNvPr id="39" name="nuNumber: 38" hidden="1">
          <a:extLst>
            <a:ext uri="{FF2B5EF4-FFF2-40B4-BE49-F238E27FC236}">
              <a16:creationId xmlns:a16="http://schemas.microsoft.com/office/drawing/2014/main" id="{2B9DD72E-7233-4581-B504-2F8B520C5118}"/>
            </a:ext>
          </a:extLst>
        </xdr:cNvPr>
        <xdr:cNvSpPr/>
      </xdr:nvSpPr>
      <xdr:spPr bwMode="auto">
        <a:xfrm>
          <a:off x="8105775" y="3567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16</xdr:row>
      <xdr:rowOff>119380</xdr:rowOff>
    </xdr:from>
    <xdr:to>
      <xdr:col>12</xdr:col>
      <xdr:colOff>63500</xdr:colOff>
      <xdr:row>17</xdr:row>
      <xdr:rowOff>0</xdr:rowOff>
    </xdr:to>
    <xdr:sp macro="" textlink="">
      <xdr:nvSpPr>
        <xdr:cNvPr id="40" name="nuNumber: 39" hidden="1">
          <a:extLst>
            <a:ext uri="{FF2B5EF4-FFF2-40B4-BE49-F238E27FC236}">
              <a16:creationId xmlns:a16="http://schemas.microsoft.com/office/drawing/2014/main" id="{EDFD70C1-099D-4D34-A6B4-4FAE23C47719}"/>
            </a:ext>
          </a:extLst>
        </xdr:cNvPr>
        <xdr:cNvSpPr/>
      </xdr:nvSpPr>
      <xdr:spPr bwMode="auto">
        <a:xfrm>
          <a:off x="8972550" y="3567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16</xdr:row>
      <xdr:rowOff>119380</xdr:rowOff>
    </xdr:from>
    <xdr:to>
      <xdr:col>13</xdr:col>
      <xdr:colOff>63500</xdr:colOff>
      <xdr:row>17</xdr:row>
      <xdr:rowOff>0</xdr:rowOff>
    </xdr:to>
    <xdr:sp macro="" textlink="">
      <xdr:nvSpPr>
        <xdr:cNvPr id="41" name="nuNumber: 40" hidden="1">
          <a:extLst>
            <a:ext uri="{FF2B5EF4-FFF2-40B4-BE49-F238E27FC236}">
              <a16:creationId xmlns:a16="http://schemas.microsoft.com/office/drawing/2014/main" id="{6DF410D1-C59F-4713-A5C6-CB95CF380363}"/>
            </a:ext>
          </a:extLst>
        </xdr:cNvPr>
        <xdr:cNvSpPr/>
      </xdr:nvSpPr>
      <xdr:spPr bwMode="auto">
        <a:xfrm>
          <a:off x="9753600" y="3567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16</xdr:row>
      <xdr:rowOff>119380</xdr:rowOff>
    </xdr:from>
    <xdr:to>
      <xdr:col>14</xdr:col>
      <xdr:colOff>63500</xdr:colOff>
      <xdr:row>17</xdr:row>
      <xdr:rowOff>0</xdr:rowOff>
    </xdr:to>
    <xdr:sp macro="" textlink="">
      <xdr:nvSpPr>
        <xdr:cNvPr id="42" name="nuNumber: 41" hidden="1">
          <a:extLst>
            <a:ext uri="{FF2B5EF4-FFF2-40B4-BE49-F238E27FC236}">
              <a16:creationId xmlns:a16="http://schemas.microsoft.com/office/drawing/2014/main" id="{EF0DAD03-674D-40CB-9CD6-50251E458295}"/>
            </a:ext>
          </a:extLst>
        </xdr:cNvPr>
        <xdr:cNvSpPr/>
      </xdr:nvSpPr>
      <xdr:spPr bwMode="auto">
        <a:xfrm>
          <a:off x="10515600" y="3567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16</xdr:row>
      <xdr:rowOff>119380</xdr:rowOff>
    </xdr:from>
    <xdr:to>
      <xdr:col>15</xdr:col>
      <xdr:colOff>63500</xdr:colOff>
      <xdr:row>17</xdr:row>
      <xdr:rowOff>0</xdr:rowOff>
    </xdr:to>
    <xdr:sp macro="" textlink="">
      <xdr:nvSpPr>
        <xdr:cNvPr id="43" name="nuNumber: 42" hidden="1">
          <a:extLst>
            <a:ext uri="{FF2B5EF4-FFF2-40B4-BE49-F238E27FC236}">
              <a16:creationId xmlns:a16="http://schemas.microsoft.com/office/drawing/2014/main" id="{0EFB823A-9023-4AC2-9876-D9599DEE17F1}"/>
            </a:ext>
          </a:extLst>
        </xdr:cNvPr>
        <xdr:cNvSpPr/>
      </xdr:nvSpPr>
      <xdr:spPr bwMode="auto">
        <a:xfrm>
          <a:off x="11325225" y="3567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16</xdr:row>
      <xdr:rowOff>119380</xdr:rowOff>
    </xdr:from>
    <xdr:to>
      <xdr:col>16</xdr:col>
      <xdr:colOff>63500</xdr:colOff>
      <xdr:row>17</xdr:row>
      <xdr:rowOff>0</xdr:rowOff>
    </xdr:to>
    <xdr:sp macro="" textlink="">
      <xdr:nvSpPr>
        <xdr:cNvPr id="44" name="nuNumber: 43" hidden="1">
          <a:extLst>
            <a:ext uri="{FF2B5EF4-FFF2-40B4-BE49-F238E27FC236}">
              <a16:creationId xmlns:a16="http://schemas.microsoft.com/office/drawing/2014/main" id="{490B6C7F-DD43-4260-9030-DFCDE8F46B57}"/>
            </a:ext>
          </a:extLst>
        </xdr:cNvPr>
        <xdr:cNvSpPr/>
      </xdr:nvSpPr>
      <xdr:spPr bwMode="auto">
        <a:xfrm>
          <a:off x="12106275" y="3567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16</xdr:row>
      <xdr:rowOff>119380</xdr:rowOff>
    </xdr:from>
    <xdr:to>
      <xdr:col>17</xdr:col>
      <xdr:colOff>63500</xdr:colOff>
      <xdr:row>17</xdr:row>
      <xdr:rowOff>0</xdr:rowOff>
    </xdr:to>
    <xdr:sp macro="" textlink="">
      <xdr:nvSpPr>
        <xdr:cNvPr id="45" name="nuNumber: 44" hidden="1">
          <a:extLst>
            <a:ext uri="{FF2B5EF4-FFF2-40B4-BE49-F238E27FC236}">
              <a16:creationId xmlns:a16="http://schemas.microsoft.com/office/drawing/2014/main" id="{1016BBB0-550A-4277-8E57-8DE8C62B7BEC}"/>
            </a:ext>
          </a:extLst>
        </xdr:cNvPr>
        <xdr:cNvSpPr/>
      </xdr:nvSpPr>
      <xdr:spPr bwMode="auto">
        <a:xfrm>
          <a:off x="12887325" y="3567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16</xdr:row>
      <xdr:rowOff>119380</xdr:rowOff>
    </xdr:from>
    <xdr:to>
      <xdr:col>18</xdr:col>
      <xdr:colOff>63499</xdr:colOff>
      <xdr:row>17</xdr:row>
      <xdr:rowOff>0</xdr:rowOff>
    </xdr:to>
    <xdr:sp macro="" textlink="">
      <xdr:nvSpPr>
        <xdr:cNvPr id="46" name="nuNumber: 45" hidden="1">
          <a:extLst>
            <a:ext uri="{FF2B5EF4-FFF2-40B4-BE49-F238E27FC236}">
              <a16:creationId xmlns:a16="http://schemas.microsoft.com/office/drawing/2014/main" id="{522EFC43-00BA-4D5B-B670-F2C5A34EA802}"/>
            </a:ext>
          </a:extLst>
        </xdr:cNvPr>
        <xdr:cNvSpPr/>
      </xdr:nvSpPr>
      <xdr:spPr bwMode="auto">
        <a:xfrm>
          <a:off x="13624559" y="356743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16</xdr:row>
      <xdr:rowOff>119380</xdr:rowOff>
    </xdr:from>
    <xdr:to>
      <xdr:col>19</xdr:col>
      <xdr:colOff>63500</xdr:colOff>
      <xdr:row>17</xdr:row>
      <xdr:rowOff>0</xdr:rowOff>
    </xdr:to>
    <xdr:sp macro="" textlink="">
      <xdr:nvSpPr>
        <xdr:cNvPr id="47" name="nuNumber: 46" hidden="1">
          <a:extLst>
            <a:ext uri="{FF2B5EF4-FFF2-40B4-BE49-F238E27FC236}">
              <a16:creationId xmlns:a16="http://schemas.microsoft.com/office/drawing/2014/main" id="{E27435D1-34D5-4D87-93C1-63303F24867E}"/>
            </a:ext>
          </a:extLst>
        </xdr:cNvPr>
        <xdr:cNvSpPr/>
      </xdr:nvSpPr>
      <xdr:spPr bwMode="auto">
        <a:xfrm>
          <a:off x="14382750" y="3567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16</xdr:row>
      <xdr:rowOff>119380</xdr:rowOff>
    </xdr:from>
    <xdr:to>
      <xdr:col>20</xdr:col>
      <xdr:colOff>63500</xdr:colOff>
      <xdr:row>17</xdr:row>
      <xdr:rowOff>0</xdr:rowOff>
    </xdr:to>
    <xdr:sp macro="" textlink="">
      <xdr:nvSpPr>
        <xdr:cNvPr id="48" name="nuNumber: 47" hidden="1">
          <a:extLst>
            <a:ext uri="{FF2B5EF4-FFF2-40B4-BE49-F238E27FC236}">
              <a16:creationId xmlns:a16="http://schemas.microsoft.com/office/drawing/2014/main" id="{4D58DA47-41EA-4304-9F9A-73CFF602321B}"/>
            </a:ext>
          </a:extLst>
        </xdr:cNvPr>
        <xdr:cNvSpPr/>
      </xdr:nvSpPr>
      <xdr:spPr bwMode="auto">
        <a:xfrm>
          <a:off x="15135225" y="3567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16</xdr:row>
      <xdr:rowOff>119380</xdr:rowOff>
    </xdr:from>
    <xdr:to>
      <xdr:col>21</xdr:col>
      <xdr:colOff>63500</xdr:colOff>
      <xdr:row>17</xdr:row>
      <xdr:rowOff>0</xdr:rowOff>
    </xdr:to>
    <xdr:sp macro="" textlink="">
      <xdr:nvSpPr>
        <xdr:cNvPr id="49" name="nuNumber: 48" hidden="1">
          <a:extLst>
            <a:ext uri="{FF2B5EF4-FFF2-40B4-BE49-F238E27FC236}">
              <a16:creationId xmlns:a16="http://schemas.microsoft.com/office/drawing/2014/main" id="{5C8938E2-A21B-4532-A4F5-E4257DBF6268}"/>
            </a:ext>
          </a:extLst>
        </xdr:cNvPr>
        <xdr:cNvSpPr/>
      </xdr:nvSpPr>
      <xdr:spPr bwMode="auto">
        <a:xfrm>
          <a:off x="15849600" y="3567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17</xdr:row>
      <xdr:rowOff>119380</xdr:rowOff>
    </xdr:from>
    <xdr:to>
      <xdr:col>8</xdr:col>
      <xdr:colOff>63500</xdr:colOff>
      <xdr:row>18</xdr:row>
      <xdr:rowOff>0</xdr:rowOff>
    </xdr:to>
    <xdr:sp macro="" textlink="">
      <xdr:nvSpPr>
        <xdr:cNvPr id="50" name="nuNumber: 49" hidden="1">
          <a:extLst>
            <a:ext uri="{FF2B5EF4-FFF2-40B4-BE49-F238E27FC236}">
              <a16:creationId xmlns:a16="http://schemas.microsoft.com/office/drawing/2014/main" id="{20728476-4B21-4DAF-B449-CAFC4ADB9C75}"/>
            </a:ext>
          </a:extLst>
        </xdr:cNvPr>
        <xdr:cNvSpPr/>
      </xdr:nvSpPr>
      <xdr:spPr bwMode="auto">
        <a:xfrm>
          <a:off x="5562600" y="37769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17</xdr:row>
      <xdr:rowOff>119380</xdr:rowOff>
    </xdr:from>
    <xdr:to>
      <xdr:col>9</xdr:col>
      <xdr:colOff>63500</xdr:colOff>
      <xdr:row>18</xdr:row>
      <xdr:rowOff>0</xdr:rowOff>
    </xdr:to>
    <xdr:sp macro="" textlink="">
      <xdr:nvSpPr>
        <xdr:cNvPr id="51" name="nuNumber: 50" hidden="1">
          <a:extLst>
            <a:ext uri="{FF2B5EF4-FFF2-40B4-BE49-F238E27FC236}">
              <a16:creationId xmlns:a16="http://schemas.microsoft.com/office/drawing/2014/main" id="{D7626D14-943F-43E9-9DB6-8512762DAE3D}"/>
            </a:ext>
          </a:extLst>
        </xdr:cNvPr>
        <xdr:cNvSpPr/>
      </xdr:nvSpPr>
      <xdr:spPr bwMode="auto">
        <a:xfrm>
          <a:off x="6467475" y="37769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17</xdr:row>
      <xdr:rowOff>119380</xdr:rowOff>
    </xdr:from>
    <xdr:to>
      <xdr:col>9</xdr:col>
      <xdr:colOff>63500</xdr:colOff>
      <xdr:row>18</xdr:row>
      <xdr:rowOff>0</xdr:rowOff>
    </xdr:to>
    <xdr:sp macro="" textlink="">
      <xdr:nvSpPr>
        <xdr:cNvPr id="52" name="nuNumber: 51" hidden="1">
          <a:extLst>
            <a:ext uri="{FF2B5EF4-FFF2-40B4-BE49-F238E27FC236}">
              <a16:creationId xmlns:a16="http://schemas.microsoft.com/office/drawing/2014/main" id="{11677809-A323-4D5E-96BD-89B5366135DB}"/>
            </a:ext>
          </a:extLst>
        </xdr:cNvPr>
        <xdr:cNvSpPr/>
      </xdr:nvSpPr>
      <xdr:spPr bwMode="auto">
        <a:xfrm>
          <a:off x="6467475" y="37769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17</xdr:row>
      <xdr:rowOff>119380</xdr:rowOff>
    </xdr:from>
    <xdr:to>
      <xdr:col>10</xdr:col>
      <xdr:colOff>63500</xdr:colOff>
      <xdr:row>18</xdr:row>
      <xdr:rowOff>0</xdr:rowOff>
    </xdr:to>
    <xdr:sp macro="" textlink="">
      <xdr:nvSpPr>
        <xdr:cNvPr id="53" name="nuNumber: 52" hidden="1">
          <a:extLst>
            <a:ext uri="{FF2B5EF4-FFF2-40B4-BE49-F238E27FC236}">
              <a16:creationId xmlns:a16="http://schemas.microsoft.com/office/drawing/2014/main" id="{76DB76B2-FD2A-45AB-82F8-72FF64A0E861}"/>
            </a:ext>
          </a:extLst>
        </xdr:cNvPr>
        <xdr:cNvSpPr/>
      </xdr:nvSpPr>
      <xdr:spPr bwMode="auto">
        <a:xfrm>
          <a:off x="7315200" y="37769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17</xdr:row>
      <xdr:rowOff>119380</xdr:rowOff>
    </xdr:from>
    <xdr:to>
      <xdr:col>11</xdr:col>
      <xdr:colOff>63500</xdr:colOff>
      <xdr:row>18</xdr:row>
      <xdr:rowOff>0</xdr:rowOff>
    </xdr:to>
    <xdr:sp macro="" textlink="">
      <xdr:nvSpPr>
        <xdr:cNvPr id="54" name="nuNumber: 53" hidden="1">
          <a:extLst>
            <a:ext uri="{FF2B5EF4-FFF2-40B4-BE49-F238E27FC236}">
              <a16:creationId xmlns:a16="http://schemas.microsoft.com/office/drawing/2014/main" id="{41317A40-502C-4E9C-9257-28A4616C8C63}"/>
            </a:ext>
          </a:extLst>
        </xdr:cNvPr>
        <xdr:cNvSpPr/>
      </xdr:nvSpPr>
      <xdr:spPr bwMode="auto">
        <a:xfrm>
          <a:off x="8105775" y="37769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17</xdr:row>
      <xdr:rowOff>119380</xdr:rowOff>
    </xdr:from>
    <xdr:to>
      <xdr:col>12</xdr:col>
      <xdr:colOff>63500</xdr:colOff>
      <xdr:row>18</xdr:row>
      <xdr:rowOff>0</xdr:rowOff>
    </xdr:to>
    <xdr:sp macro="" textlink="">
      <xdr:nvSpPr>
        <xdr:cNvPr id="55" name="nuNumber: 54" hidden="1">
          <a:extLst>
            <a:ext uri="{FF2B5EF4-FFF2-40B4-BE49-F238E27FC236}">
              <a16:creationId xmlns:a16="http://schemas.microsoft.com/office/drawing/2014/main" id="{4E71B377-15F9-47A0-BDA5-9F965E9ACB3D}"/>
            </a:ext>
          </a:extLst>
        </xdr:cNvPr>
        <xdr:cNvSpPr/>
      </xdr:nvSpPr>
      <xdr:spPr bwMode="auto">
        <a:xfrm>
          <a:off x="8972550" y="37769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17</xdr:row>
      <xdr:rowOff>119380</xdr:rowOff>
    </xdr:from>
    <xdr:to>
      <xdr:col>13</xdr:col>
      <xdr:colOff>63500</xdr:colOff>
      <xdr:row>18</xdr:row>
      <xdr:rowOff>0</xdr:rowOff>
    </xdr:to>
    <xdr:sp macro="" textlink="">
      <xdr:nvSpPr>
        <xdr:cNvPr id="56" name="nuNumber: 55" hidden="1">
          <a:extLst>
            <a:ext uri="{FF2B5EF4-FFF2-40B4-BE49-F238E27FC236}">
              <a16:creationId xmlns:a16="http://schemas.microsoft.com/office/drawing/2014/main" id="{1961EA06-B556-4E65-8720-BF3B07D6BD48}"/>
            </a:ext>
          </a:extLst>
        </xdr:cNvPr>
        <xdr:cNvSpPr/>
      </xdr:nvSpPr>
      <xdr:spPr bwMode="auto">
        <a:xfrm>
          <a:off x="9753600" y="37769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17</xdr:row>
      <xdr:rowOff>119380</xdr:rowOff>
    </xdr:from>
    <xdr:to>
      <xdr:col>14</xdr:col>
      <xdr:colOff>63500</xdr:colOff>
      <xdr:row>18</xdr:row>
      <xdr:rowOff>0</xdr:rowOff>
    </xdr:to>
    <xdr:sp macro="" textlink="">
      <xdr:nvSpPr>
        <xdr:cNvPr id="57" name="nuNumber: 56" hidden="1">
          <a:extLst>
            <a:ext uri="{FF2B5EF4-FFF2-40B4-BE49-F238E27FC236}">
              <a16:creationId xmlns:a16="http://schemas.microsoft.com/office/drawing/2014/main" id="{D32F30D7-DFAD-48A6-827F-3EE9A3D83F0A}"/>
            </a:ext>
          </a:extLst>
        </xdr:cNvPr>
        <xdr:cNvSpPr/>
      </xdr:nvSpPr>
      <xdr:spPr bwMode="auto">
        <a:xfrm>
          <a:off x="10515600" y="37769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17</xdr:row>
      <xdr:rowOff>119380</xdr:rowOff>
    </xdr:from>
    <xdr:to>
      <xdr:col>15</xdr:col>
      <xdr:colOff>63500</xdr:colOff>
      <xdr:row>18</xdr:row>
      <xdr:rowOff>0</xdr:rowOff>
    </xdr:to>
    <xdr:sp macro="" textlink="">
      <xdr:nvSpPr>
        <xdr:cNvPr id="58" name="nuNumber: 57" hidden="1">
          <a:extLst>
            <a:ext uri="{FF2B5EF4-FFF2-40B4-BE49-F238E27FC236}">
              <a16:creationId xmlns:a16="http://schemas.microsoft.com/office/drawing/2014/main" id="{32952FF3-C8A5-4ACF-8A86-DA45FDEECB21}"/>
            </a:ext>
          </a:extLst>
        </xdr:cNvPr>
        <xdr:cNvSpPr/>
      </xdr:nvSpPr>
      <xdr:spPr bwMode="auto">
        <a:xfrm>
          <a:off x="11325225" y="37769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17</xdr:row>
      <xdr:rowOff>119380</xdr:rowOff>
    </xdr:from>
    <xdr:to>
      <xdr:col>16</xdr:col>
      <xdr:colOff>63500</xdr:colOff>
      <xdr:row>18</xdr:row>
      <xdr:rowOff>0</xdr:rowOff>
    </xdr:to>
    <xdr:sp macro="" textlink="">
      <xdr:nvSpPr>
        <xdr:cNvPr id="59" name="nuNumber: 58" hidden="1">
          <a:extLst>
            <a:ext uri="{FF2B5EF4-FFF2-40B4-BE49-F238E27FC236}">
              <a16:creationId xmlns:a16="http://schemas.microsoft.com/office/drawing/2014/main" id="{1E7A85DE-296E-4402-A096-DA5F9410CD30}"/>
            </a:ext>
          </a:extLst>
        </xdr:cNvPr>
        <xdr:cNvSpPr/>
      </xdr:nvSpPr>
      <xdr:spPr bwMode="auto">
        <a:xfrm>
          <a:off x="12106275" y="37769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17</xdr:row>
      <xdr:rowOff>119380</xdr:rowOff>
    </xdr:from>
    <xdr:to>
      <xdr:col>17</xdr:col>
      <xdr:colOff>63500</xdr:colOff>
      <xdr:row>18</xdr:row>
      <xdr:rowOff>0</xdr:rowOff>
    </xdr:to>
    <xdr:sp macro="" textlink="">
      <xdr:nvSpPr>
        <xdr:cNvPr id="60" name="nuNumber: 59" hidden="1">
          <a:extLst>
            <a:ext uri="{FF2B5EF4-FFF2-40B4-BE49-F238E27FC236}">
              <a16:creationId xmlns:a16="http://schemas.microsoft.com/office/drawing/2014/main" id="{3A52DE85-404B-45DB-A8DE-81C5348937A8}"/>
            </a:ext>
          </a:extLst>
        </xdr:cNvPr>
        <xdr:cNvSpPr/>
      </xdr:nvSpPr>
      <xdr:spPr bwMode="auto">
        <a:xfrm>
          <a:off x="12887325" y="37769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17</xdr:row>
      <xdr:rowOff>119380</xdr:rowOff>
    </xdr:from>
    <xdr:to>
      <xdr:col>18</xdr:col>
      <xdr:colOff>63499</xdr:colOff>
      <xdr:row>18</xdr:row>
      <xdr:rowOff>0</xdr:rowOff>
    </xdr:to>
    <xdr:sp macro="" textlink="">
      <xdr:nvSpPr>
        <xdr:cNvPr id="61" name="nuNumber: 60" hidden="1">
          <a:extLst>
            <a:ext uri="{FF2B5EF4-FFF2-40B4-BE49-F238E27FC236}">
              <a16:creationId xmlns:a16="http://schemas.microsoft.com/office/drawing/2014/main" id="{7AA09C4E-6430-424D-A2FF-73DB5673A94C}"/>
            </a:ext>
          </a:extLst>
        </xdr:cNvPr>
        <xdr:cNvSpPr/>
      </xdr:nvSpPr>
      <xdr:spPr bwMode="auto">
        <a:xfrm>
          <a:off x="13624559" y="377698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17</xdr:row>
      <xdr:rowOff>119380</xdr:rowOff>
    </xdr:from>
    <xdr:to>
      <xdr:col>19</xdr:col>
      <xdr:colOff>63500</xdr:colOff>
      <xdr:row>18</xdr:row>
      <xdr:rowOff>0</xdr:rowOff>
    </xdr:to>
    <xdr:sp macro="" textlink="">
      <xdr:nvSpPr>
        <xdr:cNvPr id="62" name="nuNumber: 61" hidden="1">
          <a:extLst>
            <a:ext uri="{FF2B5EF4-FFF2-40B4-BE49-F238E27FC236}">
              <a16:creationId xmlns:a16="http://schemas.microsoft.com/office/drawing/2014/main" id="{E26678B6-7103-4685-AE96-C4349646AF2F}"/>
            </a:ext>
          </a:extLst>
        </xdr:cNvPr>
        <xdr:cNvSpPr/>
      </xdr:nvSpPr>
      <xdr:spPr bwMode="auto">
        <a:xfrm>
          <a:off x="14382750" y="37769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17</xdr:row>
      <xdr:rowOff>119380</xdr:rowOff>
    </xdr:from>
    <xdr:to>
      <xdr:col>20</xdr:col>
      <xdr:colOff>63500</xdr:colOff>
      <xdr:row>18</xdr:row>
      <xdr:rowOff>0</xdr:rowOff>
    </xdr:to>
    <xdr:sp macro="" textlink="">
      <xdr:nvSpPr>
        <xdr:cNvPr id="63" name="nuNumber: 62" hidden="1">
          <a:extLst>
            <a:ext uri="{FF2B5EF4-FFF2-40B4-BE49-F238E27FC236}">
              <a16:creationId xmlns:a16="http://schemas.microsoft.com/office/drawing/2014/main" id="{81B5E4F7-203F-416D-B158-D19D1D5D4208}"/>
            </a:ext>
          </a:extLst>
        </xdr:cNvPr>
        <xdr:cNvSpPr/>
      </xdr:nvSpPr>
      <xdr:spPr bwMode="auto">
        <a:xfrm>
          <a:off x="15135225" y="37769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17</xdr:row>
      <xdr:rowOff>119380</xdr:rowOff>
    </xdr:from>
    <xdr:to>
      <xdr:col>21</xdr:col>
      <xdr:colOff>63500</xdr:colOff>
      <xdr:row>18</xdr:row>
      <xdr:rowOff>0</xdr:rowOff>
    </xdr:to>
    <xdr:sp macro="" textlink="">
      <xdr:nvSpPr>
        <xdr:cNvPr id="64" name="nuNumber: 63" hidden="1">
          <a:extLst>
            <a:ext uri="{FF2B5EF4-FFF2-40B4-BE49-F238E27FC236}">
              <a16:creationId xmlns:a16="http://schemas.microsoft.com/office/drawing/2014/main" id="{EAA90101-5DFA-4906-B037-7A08ECD3F0D4}"/>
            </a:ext>
          </a:extLst>
        </xdr:cNvPr>
        <xdr:cNvSpPr/>
      </xdr:nvSpPr>
      <xdr:spPr bwMode="auto">
        <a:xfrm>
          <a:off x="15849600" y="37769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18</xdr:row>
      <xdr:rowOff>119380</xdr:rowOff>
    </xdr:from>
    <xdr:to>
      <xdr:col>8</xdr:col>
      <xdr:colOff>63500</xdr:colOff>
      <xdr:row>19</xdr:row>
      <xdr:rowOff>0</xdr:rowOff>
    </xdr:to>
    <xdr:sp macro="" textlink="">
      <xdr:nvSpPr>
        <xdr:cNvPr id="65" name="nuNumber: 64" hidden="1">
          <a:extLst>
            <a:ext uri="{FF2B5EF4-FFF2-40B4-BE49-F238E27FC236}">
              <a16:creationId xmlns:a16="http://schemas.microsoft.com/office/drawing/2014/main" id="{6CAA45E2-7984-4A1F-965C-6D51696AAB4E}"/>
            </a:ext>
          </a:extLst>
        </xdr:cNvPr>
        <xdr:cNvSpPr/>
      </xdr:nvSpPr>
      <xdr:spPr bwMode="auto">
        <a:xfrm>
          <a:off x="5562600" y="3986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18</xdr:row>
      <xdr:rowOff>119380</xdr:rowOff>
    </xdr:from>
    <xdr:to>
      <xdr:col>9</xdr:col>
      <xdr:colOff>63500</xdr:colOff>
      <xdr:row>19</xdr:row>
      <xdr:rowOff>0</xdr:rowOff>
    </xdr:to>
    <xdr:sp macro="" textlink="">
      <xdr:nvSpPr>
        <xdr:cNvPr id="66" name="nuNumber: 65" hidden="1">
          <a:extLst>
            <a:ext uri="{FF2B5EF4-FFF2-40B4-BE49-F238E27FC236}">
              <a16:creationId xmlns:a16="http://schemas.microsoft.com/office/drawing/2014/main" id="{8B43604E-EA54-403B-9746-BEEBF5102EC2}"/>
            </a:ext>
          </a:extLst>
        </xdr:cNvPr>
        <xdr:cNvSpPr/>
      </xdr:nvSpPr>
      <xdr:spPr bwMode="auto">
        <a:xfrm>
          <a:off x="6467475" y="3986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18</xdr:row>
      <xdr:rowOff>119380</xdr:rowOff>
    </xdr:from>
    <xdr:to>
      <xdr:col>9</xdr:col>
      <xdr:colOff>63500</xdr:colOff>
      <xdr:row>19</xdr:row>
      <xdr:rowOff>0</xdr:rowOff>
    </xdr:to>
    <xdr:sp macro="" textlink="">
      <xdr:nvSpPr>
        <xdr:cNvPr id="67" name="nuNumber: 66" hidden="1">
          <a:extLst>
            <a:ext uri="{FF2B5EF4-FFF2-40B4-BE49-F238E27FC236}">
              <a16:creationId xmlns:a16="http://schemas.microsoft.com/office/drawing/2014/main" id="{006C09AA-0FFD-4441-92FB-B41F2F912900}"/>
            </a:ext>
          </a:extLst>
        </xdr:cNvPr>
        <xdr:cNvSpPr/>
      </xdr:nvSpPr>
      <xdr:spPr bwMode="auto">
        <a:xfrm>
          <a:off x="6467475" y="3986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18</xdr:row>
      <xdr:rowOff>119380</xdr:rowOff>
    </xdr:from>
    <xdr:to>
      <xdr:col>10</xdr:col>
      <xdr:colOff>63500</xdr:colOff>
      <xdr:row>19</xdr:row>
      <xdr:rowOff>0</xdr:rowOff>
    </xdr:to>
    <xdr:sp macro="" textlink="">
      <xdr:nvSpPr>
        <xdr:cNvPr id="68" name="nuNumber: 67" hidden="1">
          <a:extLst>
            <a:ext uri="{FF2B5EF4-FFF2-40B4-BE49-F238E27FC236}">
              <a16:creationId xmlns:a16="http://schemas.microsoft.com/office/drawing/2014/main" id="{CF3EFB32-F7A3-40A4-9E55-C9F5AA06B901}"/>
            </a:ext>
          </a:extLst>
        </xdr:cNvPr>
        <xdr:cNvSpPr/>
      </xdr:nvSpPr>
      <xdr:spPr bwMode="auto">
        <a:xfrm>
          <a:off x="7315200" y="3986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18</xdr:row>
      <xdr:rowOff>119380</xdr:rowOff>
    </xdr:from>
    <xdr:to>
      <xdr:col>11</xdr:col>
      <xdr:colOff>63500</xdr:colOff>
      <xdr:row>19</xdr:row>
      <xdr:rowOff>0</xdr:rowOff>
    </xdr:to>
    <xdr:sp macro="" textlink="">
      <xdr:nvSpPr>
        <xdr:cNvPr id="69" name="nuNumber: 68" hidden="1">
          <a:extLst>
            <a:ext uri="{FF2B5EF4-FFF2-40B4-BE49-F238E27FC236}">
              <a16:creationId xmlns:a16="http://schemas.microsoft.com/office/drawing/2014/main" id="{30DE57DC-8C14-4E0E-BB60-4627E2477459}"/>
            </a:ext>
          </a:extLst>
        </xdr:cNvPr>
        <xdr:cNvSpPr/>
      </xdr:nvSpPr>
      <xdr:spPr bwMode="auto">
        <a:xfrm>
          <a:off x="8105775" y="3986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18</xdr:row>
      <xdr:rowOff>119380</xdr:rowOff>
    </xdr:from>
    <xdr:to>
      <xdr:col>12</xdr:col>
      <xdr:colOff>63500</xdr:colOff>
      <xdr:row>19</xdr:row>
      <xdr:rowOff>0</xdr:rowOff>
    </xdr:to>
    <xdr:sp macro="" textlink="">
      <xdr:nvSpPr>
        <xdr:cNvPr id="70" name="nuNumber: 69" hidden="1">
          <a:extLst>
            <a:ext uri="{FF2B5EF4-FFF2-40B4-BE49-F238E27FC236}">
              <a16:creationId xmlns:a16="http://schemas.microsoft.com/office/drawing/2014/main" id="{0D4D2AB9-D02B-4558-AA30-6E2150BCFAEC}"/>
            </a:ext>
          </a:extLst>
        </xdr:cNvPr>
        <xdr:cNvSpPr/>
      </xdr:nvSpPr>
      <xdr:spPr bwMode="auto">
        <a:xfrm>
          <a:off x="8972550" y="3986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18</xdr:row>
      <xdr:rowOff>119380</xdr:rowOff>
    </xdr:from>
    <xdr:to>
      <xdr:col>13</xdr:col>
      <xdr:colOff>63500</xdr:colOff>
      <xdr:row>19</xdr:row>
      <xdr:rowOff>0</xdr:rowOff>
    </xdr:to>
    <xdr:sp macro="" textlink="">
      <xdr:nvSpPr>
        <xdr:cNvPr id="71" name="nuNumber: 70" hidden="1">
          <a:extLst>
            <a:ext uri="{FF2B5EF4-FFF2-40B4-BE49-F238E27FC236}">
              <a16:creationId xmlns:a16="http://schemas.microsoft.com/office/drawing/2014/main" id="{5ACF9A99-481A-42F1-995B-6D434B816554}"/>
            </a:ext>
          </a:extLst>
        </xdr:cNvPr>
        <xdr:cNvSpPr/>
      </xdr:nvSpPr>
      <xdr:spPr bwMode="auto">
        <a:xfrm>
          <a:off x="9753600" y="3986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18</xdr:row>
      <xdr:rowOff>119380</xdr:rowOff>
    </xdr:from>
    <xdr:to>
      <xdr:col>14</xdr:col>
      <xdr:colOff>63500</xdr:colOff>
      <xdr:row>19</xdr:row>
      <xdr:rowOff>0</xdr:rowOff>
    </xdr:to>
    <xdr:sp macro="" textlink="">
      <xdr:nvSpPr>
        <xdr:cNvPr id="72" name="nuNumber: 71" hidden="1">
          <a:extLst>
            <a:ext uri="{FF2B5EF4-FFF2-40B4-BE49-F238E27FC236}">
              <a16:creationId xmlns:a16="http://schemas.microsoft.com/office/drawing/2014/main" id="{57FAAD18-6009-4CAC-B091-140D9737F907}"/>
            </a:ext>
          </a:extLst>
        </xdr:cNvPr>
        <xdr:cNvSpPr/>
      </xdr:nvSpPr>
      <xdr:spPr bwMode="auto">
        <a:xfrm>
          <a:off x="10515600" y="3986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18</xdr:row>
      <xdr:rowOff>119380</xdr:rowOff>
    </xdr:from>
    <xdr:to>
      <xdr:col>15</xdr:col>
      <xdr:colOff>63500</xdr:colOff>
      <xdr:row>19</xdr:row>
      <xdr:rowOff>0</xdr:rowOff>
    </xdr:to>
    <xdr:sp macro="" textlink="">
      <xdr:nvSpPr>
        <xdr:cNvPr id="73" name="nuNumber: 72" hidden="1">
          <a:extLst>
            <a:ext uri="{FF2B5EF4-FFF2-40B4-BE49-F238E27FC236}">
              <a16:creationId xmlns:a16="http://schemas.microsoft.com/office/drawing/2014/main" id="{ADFF0923-1458-4552-8016-C986505BF609}"/>
            </a:ext>
          </a:extLst>
        </xdr:cNvPr>
        <xdr:cNvSpPr/>
      </xdr:nvSpPr>
      <xdr:spPr bwMode="auto">
        <a:xfrm>
          <a:off x="11325225" y="3986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18</xdr:row>
      <xdr:rowOff>119380</xdr:rowOff>
    </xdr:from>
    <xdr:to>
      <xdr:col>16</xdr:col>
      <xdr:colOff>63500</xdr:colOff>
      <xdr:row>19</xdr:row>
      <xdr:rowOff>0</xdr:rowOff>
    </xdr:to>
    <xdr:sp macro="" textlink="">
      <xdr:nvSpPr>
        <xdr:cNvPr id="74" name="nuNumber: 73" hidden="1">
          <a:extLst>
            <a:ext uri="{FF2B5EF4-FFF2-40B4-BE49-F238E27FC236}">
              <a16:creationId xmlns:a16="http://schemas.microsoft.com/office/drawing/2014/main" id="{FC48022A-3474-473A-A26E-62AB901B759B}"/>
            </a:ext>
          </a:extLst>
        </xdr:cNvPr>
        <xdr:cNvSpPr/>
      </xdr:nvSpPr>
      <xdr:spPr bwMode="auto">
        <a:xfrm>
          <a:off x="12106275" y="3986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18</xdr:row>
      <xdr:rowOff>119380</xdr:rowOff>
    </xdr:from>
    <xdr:to>
      <xdr:col>17</xdr:col>
      <xdr:colOff>63500</xdr:colOff>
      <xdr:row>19</xdr:row>
      <xdr:rowOff>0</xdr:rowOff>
    </xdr:to>
    <xdr:sp macro="" textlink="">
      <xdr:nvSpPr>
        <xdr:cNvPr id="75" name="nuNumber: 74" hidden="1">
          <a:extLst>
            <a:ext uri="{FF2B5EF4-FFF2-40B4-BE49-F238E27FC236}">
              <a16:creationId xmlns:a16="http://schemas.microsoft.com/office/drawing/2014/main" id="{BD2A8CDB-DBBC-4010-854A-4216FAF43475}"/>
            </a:ext>
          </a:extLst>
        </xdr:cNvPr>
        <xdr:cNvSpPr/>
      </xdr:nvSpPr>
      <xdr:spPr bwMode="auto">
        <a:xfrm>
          <a:off x="12887325" y="3986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18</xdr:row>
      <xdr:rowOff>119380</xdr:rowOff>
    </xdr:from>
    <xdr:to>
      <xdr:col>18</xdr:col>
      <xdr:colOff>63499</xdr:colOff>
      <xdr:row>19</xdr:row>
      <xdr:rowOff>0</xdr:rowOff>
    </xdr:to>
    <xdr:sp macro="" textlink="">
      <xdr:nvSpPr>
        <xdr:cNvPr id="76" name="nuNumber: 75" hidden="1">
          <a:extLst>
            <a:ext uri="{FF2B5EF4-FFF2-40B4-BE49-F238E27FC236}">
              <a16:creationId xmlns:a16="http://schemas.microsoft.com/office/drawing/2014/main" id="{296CF89F-A9EF-4C13-805D-74EE37F79E95}"/>
            </a:ext>
          </a:extLst>
        </xdr:cNvPr>
        <xdr:cNvSpPr/>
      </xdr:nvSpPr>
      <xdr:spPr bwMode="auto">
        <a:xfrm>
          <a:off x="13624559" y="398653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18</xdr:row>
      <xdr:rowOff>119380</xdr:rowOff>
    </xdr:from>
    <xdr:to>
      <xdr:col>19</xdr:col>
      <xdr:colOff>63500</xdr:colOff>
      <xdr:row>19</xdr:row>
      <xdr:rowOff>0</xdr:rowOff>
    </xdr:to>
    <xdr:sp macro="" textlink="">
      <xdr:nvSpPr>
        <xdr:cNvPr id="77" name="nuNumber: 76" hidden="1">
          <a:extLst>
            <a:ext uri="{FF2B5EF4-FFF2-40B4-BE49-F238E27FC236}">
              <a16:creationId xmlns:a16="http://schemas.microsoft.com/office/drawing/2014/main" id="{46DA057A-105D-4DC7-97C5-3F1FF2BAE043}"/>
            </a:ext>
          </a:extLst>
        </xdr:cNvPr>
        <xdr:cNvSpPr/>
      </xdr:nvSpPr>
      <xdr:spPr bwMode="auto">
        <a:xfrm>
          <a:off x="14382750" y="3986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18</xdr:row>
      <xdr:rowOff>119380</xdr:rowOff>
    </xdr:from>
    <xdr:to>
      <xdr:col>20</xdr:col>
      <xdr:colOff>63500</xdr:colOff>
      <xdr:row>19</xdr:row>
      <xdr:rowOff>0</xdr:rowOff>
    </xdr:to>
    <xdr:sp macro="" textlink="">
      <xdr:nvSpPr>
        <xdr:cNvPr id="78" name="nuNumber: 77" hidden="1">
          <a:extLst>
            <a:ext uri="{FF2B5EF4-FFF2-40B4-BE49-F238E27FC236}">
              <a16:creationId xmlns:a16="http://schemas.microsoft.com/office/drawing/2014/main" id="{CA162AB7-76E7-4216-8FA3-EE681674F269}"/>
            </a:ext>
          </a:extLst>
        </xdr:cNvPr>
        <xdr:cNvSpPr/>
      </xdr:nvSpPr>
      <xdr:spPr bwMode="auto">
        <a:xfrm>
          <a:off x="15135225" y="3986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18</xdr:row>
      <xdr:rowOff>119380</xdr:rowOff>
    </xdr:from>
    <xdr:to>
      <xdr:col>21</xdr:col>
      <xdr:colOff>63500</xdr:colOff>
      <xdr:row>19</xdr:row>
      <xdr:rowOff>0</xdr:rowOff>
    </xdr:to>
    <xdr:sp macro="" textlink="">
      <xdr:nvSpPr>
        <xdr:cNvPr id="79" name="nuNumber: 78" hidden="1">
          <a:extLst>
            <a:ext uri="{FF2B5EF4-FFF2-40B4-BE49-F238E27FC236}">
              <a16:creationId xmlns:a16="http://schemas.microsoft.com/office/drawing/2014/main" id="{ACFEBBA5-7814-4A2A-B654-4D8C61356FEB}"/>
            </a:ext>
          </a:extLst>
        </xdr:cNvPr>
        <xdr:cNvSpPr/>
      </xdr:nvSpPr>
      <xdr:spPr bwMode="auto">
        <a:xfrm>
          <a:off x="15849600" y="3986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19</xdr:row>
      <xdr:rowOff>119380</xdr:rowOff>
    </xdr:from>
    <xdr:to>
      <xdr:col>8</xdr:col>
      <xdr:colOff>63500</xdr:colOff>
      <xdr:row>20</xdr:row>
      <xdr:rowOff>0</xdr:rowOff>
    </xdr:to>
    <xdr:sp macro="" textlink="">
      <xdr:nvSpPr>
        <xdr:cNvPr id="80" name="nuNumber: 79" hidden="1">
          <a:extLst>
            <a:ext uri="{FF2B5EF4-FFF2-40B4-BE49-F238E27FC236}">
              <a16:creationId xmlns:a16="http://schemas.microsoft.com/office/drawing/2014/main" id="{99603E49-E87F-4EF8-85DA-FDAB94D80DBF}"/>
            </a:ext>
          </a:extLst>
        </xdr:cNvPr>
        <xdr:cNvSpPr/>
      </xdr:nvSpPr>
      <xdr:spPr bwMode="auto">
        <a:xfrm>
          <a:off x="5562600" y="4196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19</xdr:row>
      <xdr:rowOff>119380</xdr:rowOff>
    </xdr:from>
    <xdr:to>
      <xdr:col>9</xdr:col>
      <xdr:colOff>63500</xdr:colOff>
      <xdr:row>20</xdr:row>
      <xdr:rowOff>0</xdr:rowOff>
    </xdr:to>
    <xdr:sp macro="" textlink="">
      <xdr:nvSpPr>
        <xdr:cNvPr id="81" name="nuNumber: 80" hidden="1">
          <a:extLst>
            <a:ext uri="{FF2B5EF4-FFF2-40B4-BE49-F238E27FC236}">
              <a16:creationId xmlns:a16="http://schemas.microsoft.com/office/drawing/2014/main" id="{A2A9AD8B-B152-483F-8ABF-41D1B9977041}"/>
            </a:ext>
          </a:extLst>
        </xdr:cNvPr>
        <xdr:cNvSpPr/>
      </xdr:nvSpPr>
      <xdr:spPr bwMode="auto">
        <a:xfrm>
          <a:off x="6467475" y="4196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19</xdr:row>
      <xdr:rowOff>119380</xdr:rowOff>
    </xdr:from>
    <xdr:to>
      <xdr:col>9</xdr:col>
      <xdr:colOff>63500</xdr:colOff>
      <xdr:row>20</xdr:row>
      <xdr:rowOff>0</xdr:rowOff>
    </xdr:to>
    <xdr:sp macro="" textlink="">
      <xdr:nvSpPr>
        <xdr:cNvPr id="82" name="nuNumber: 81" hidden="1">
          <a:extLst>
            <a:ext uri="{FF2B5EF4-FFF2-40B4-BE49-F238E27FC236}">
              <a16:creationId xmlns:a16="http://schemas.microsoft.com/office/drawing/2014/main" id="{A8270320-C89A-4A57-81E7-F94603CC36F4}"/>
            </a:ext>
          </a:extLst>
        </xdr:cNvPr>
        <xdr:cNvSpPr/>
      </xdr:nvSpPr>
      <xdr:spPr bwMode="auto">
        <a:xfrm>
          <a:off x="6467475" y="4196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19</xdr:row>
      <xdr:rowOff>119380</xdr:rowOff>
    </xdr:from>
    <xdr:to>
      <xdr:col>10</xdr:col>
      <xdr:colOff>63500</xdr:colOff>
      <xdr:row>20</xdr:row>
      <xdr:rowOff>0</xdr:rowOff>
    </xdr:to>
    <xdr:sp macro="" textlink="">
      <xdr:nvSpPr>
        <xdr:cNvPr id="83" name="nuNumber: 82" hidden="1">
          <a:extLst>
            <a:ext uri="{FF2B5EF4-FFF2-40B4-BE49-F238E27FC236}">
              <a16:creationId xmlns:a16="http://schemas.microsoft.com/office/drawing/2014/main" id="{EDDF79F7-2525-40F7-B1B9-9EF0BF1B7433}"/>
            </a:ext>
          </a:extLst>
        </xdr:cNvPr>
        <xdr:cNvSpPr/>
      </xdr:nvSpPr>
      <xdr:spPr bwMode="auto">
        <a:xfrm>
          <a:off x="7315200" y="4196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19</xdr:row>
      <xdr:rowOff>119380</xdr:rowOff>
    </xdr:from>
    <xdr:to>
      <xdr:col>11</xdr:col>
      <xdr:colOff>63500</xdr:colOff>
      <xdr:row>20</xdr:row>
      <xdr:rowOff>0</xdr:rowOff>
    </xdr:to>
    <xdr:sp macro="" textlink="">
      <xdr:nvSpPr>
        <xdr:cNvPr id="84" name="nuNumber: 83" hidden="1">
          <a:extLst>
            <a:ext uri="{FF2B5EF4-FFF2-40B4-BE49-F238E27FC236}">
              <a16:creationId xmlns:a16="http://schemas.microsoft.com/office/drawing/2014/main" id="{4827A1DF-C9A7-4962-AA21-F823257D5D5B}"/>
            </a:ext>
          </a:extLst>
        </xdr:cNvPr>
        <xdr:cNvSpPr/>
      </xdr:nvSpPr>
      <xdr:spPr bwMode="auto">
        <a:xfrm>
          <a:off x="8105775" y="4196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19</xdr:row>
      <xdr:rowOff>119380</xdr:rowOff>
    </xdr:from>
    <xdr:to>
      <xdr:col>12</xdr:col>
      <xdr:colOff>63500</xdr:colOff>
      <xdr:row>20</xdr:row>
      <xdr:rowOff>0</xdr:rowOff>
    </xdr:to>
    <xdr:sp macro="" textlink="">
      <xdr:nvSpPr>
        <xdr:cNvPr id="85" name="nuNumber: 84" hidden="1">
          <a:extLst>
            <a:ext uri="{FF2B5EF4-FFF2-40B4-BE49-F238E27FC236}">
              <a16:creationId xmlns:a16="http://schemas.microsoft.com/office/drawing/2014/main" id="{F327F499-38A6-4FBD-837D-B75E46E2FFC3}"/>
            </a:ext>
          </a:extLst>
        </xdr:cNvPr>
        <xdr:cNvSpPr/>
      </xdr:nvSpPr>
      <xdr:spPr bwMode="auto">
        <a:xfrm>
          <a:off x="8972550" y="4196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19</xdr:row>
      <xdr:rowOff>119380</xdr:rowOff>
    </xdr:from>
    <xdr:to>
      <xdr:col>13</xdr:col>
      <xdr:colOff>63500</xdr:colOff>
      <xdr:row>20</xdr:row>
      <xdr:rowOff>0</xdr:rowOff>
    </xdr:to>
    <xdr:sp macro="" textlink="">
      <xdr:nvSpPr>
        <xdr:cNvPr id="86" name="nuNumber: 85" hidden="1">
          <a:extLst>
            <a:ext uri="{FF2B5EF4-FFF2-40B4-BE49-F238E27FC236}">
              <a16:creationId xmlns:a16="http://schemas.microsoft.com/office/drawing/2014/main" id="{F3F722FB-C0A2-4E40-AE0A-00D4E459FAC9}"/>
            </a:ext>
          </a:extLst>
        </xdr:cNvPr>
        <xdr:cNvSpPr/>
      </xdr:nvSpPr>
      <xdr:spPr bwMode="auto">
        <a:xfrm>
          <a:off x="9753600" y="4196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19</xdr:row>
      <xdr:rowOff>119380</xdr:rowOff>
    </xdr:from>
    <xdr:to>
      <xdr:col>14</xdr:col>
      <xdr:colOff>63500</xdr:colOff>
      <xdr:row>20</xdr:row>
      <xdr:rowOff>0</xdr:rowOff>
    </xdr:to>
    <xdr:sp macro="" textlink="">
      <xdr:nvSpPr>
        <xdr:cNvPr id="87" name="nuNumber: 86" hidden="1">
          <a:extLst>
            <a:ext uri="{FF2B5EF4-FFF2-40B4-BE49-F238E27FC236}">
              <a16:creationId xmlns:a16="http://schemas.microsoft.com/office/drawing/2014/main" id="{164B88E5-2265-4F97-BA52-AA1D0CD48B08}"/>
            </a:ext>
          </a:extLst>
        </xdr:cNvPr>
        <xdr:cNvSpPr/>
      </xdr:nvSpPr>
      <xdr:spPr bwMode="auto">
        <a:xfrm>
          <a:off x="10515600" y="4196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19</xdr:row>
      <xdr:rowOff>119380</xdr:rowOff>
    </xdr:from>
    <xdr:to>
      <xdr:col>15</xdr:col>
      <xdr:colOff>63500</xdr:colOff>
      <xdr:row>20</xdr:row>
      <xdr:rowOff>0</xdr:rowOff>
    </xdr:to>
    <xdr:sp macro="" textlink="">
      <xdr:nvSpPr>
        <xdr:cNvPr id="88" name="nuNumber: 87" hidden="1">
          <a:extLst>
            <a:ext uri="{FF2B5EF4-FFF2-40B4-BE49-F238E27FC236}">
              <a16:creationId xmlns:a16="http://schemas.microsoft.com/office/drawing/2014/main" id="{981B55E4-8CA9-48B4-9DB8-B616DCDBE3B4}"/>
            </a:ext>
          </a:extLst>
        </xdr:cNvPr>
        <xdr:cNvSpPr/>
      </xdr:nvSpPr>
      <xdr:spPr bwMode="auto">
        <a:xfrm>
          <a:off x="11325225" y="4196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19</xdr:row>
      <xdr:rowOff>119380</xdr:rowOff>
    </xdr:from>
    <xdr:to>
      <xdr:col>16</xdr:col>
      <xdr:colOff>63500</xdr:colOff>
      <xdr:row>20</xdr:row>
      <xdr:rowOff>0</xdr:rowOff>
    </xdr:to>
    <xdr:sp macro="" textlink="">
      <xdr:nvSpPr>
        <xdr:cNvPr id="89" name="nuNumber: 88" hidden="1">
          <a:extLst>
            <a:ext uri="{FF2B5EF4-FFF2-40B4-BE49-F238E27FC236}">
              <a16:creationId xmlns:a16="http://schemas.microsoft.com/office/drawing/2014/main" id="{69CD1071-B5FA-47B3-ABD9-385F8FB7FEA0}"/>
            </a:ext>
          </a:extLst>
        </xdr:cNvPr>
        <xdr:cNvSpPr/>
      </xdr:nvSpPr>
      <xdr:spPr bwMode="auto">
        <a:xfrm>
          <a:off x="12106275" y="4196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19</xdr:row>
      <xdr:rowOff>119380</xdr:rowOff>
    </xdr:from>
    <xdr:to>
      <xdr:col>17</xdr:col>
      <xdr:colOff>63500</xdr:colOff>
      <xdr:row>20</xdr:row>
      <xdr:rowOff>0</xdr:rowOff>
    </xdr:to>
    <xdr:sp macro="" textlink="">
      <xdr:nvSpPr>
        <xdr:cNvPr id="90" name="nuNumber: 89" hidden="1">
          <a:extLst>
            <a:ext uri="{FF2B5EF4-FFF2-40B4-BE49-F238E27FC236}">
              <a16:creationId xmlns:a16="http://schemas.microsoft.com/office/drawing/2014/main" id="{CB49AF76-24B6-44B3-B6BE-E51E5C7A2B61}"/>
            </a:ext>
          </a:extLst>
        </xdr:cNvPr>
        <xdr:cNvSpPr/>
      </xdr:nvSpPr>
      <xdr:spPr bwMode="auto">
        <a:xfrm>
          <a:off x="12887325" y="4196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19</xdr:row>
      <xdr:rowOff>119380</xdr:rowOff>
    </xdr:from>
    <xdr:to>
      <xdr:col>18</xdr:col>
      <xdr:colOff>63499</xdr:colOff>
      <xdr:row>20</xdr:row>
      <xdr:rowOff>0</xdr:rowOff>
    </xdr:to>
    <xdr:sp macro="" textlink="">
      <xdr:nvSpPr>
        <xdr:cNvPr id="91" name="nuNumber: 90" hidden="1">
          <a:extLst>
            <a:ext uri="{FF2B5EF4-FFF2-40B4-BE49-F238E27FC236}">
              <a16:creationId xmlns:a16="http://schemas.microsoft.com/office/drawing/2014/main" id="{626634BA-CE4A-4A84-BD56-13B125DA5A46}"/>
            </a:ext>
          </a:extLst>
        </xdr:cNvPr>
        <xdr:cNvSpPr/>
      </xdr:nvSpPr>
      <xdr:spPr bwMode="auto">
        <a:xfrm>
          <a:off x="13624559" y="419608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19</xdr:row>
      <xdr:rowOff>119380</xdr:rowOff>
    </xdr:from>
    <xdr:to>
      <xdr:col>19</xdr:col>
      <xdr:colOff>63500</xdr:colOff>
      <xdr:row>20</xdr:row>
      <xdr:rowOff>0</xdr:rowOff>
    </xdr:to>
    <xdr:sp macro="" textlink="">
      <xdr:nvSpPr>
        <xdr:cNvPr id="92" name="nuNumber: 91" hidden="1">
          <a:extLst>
            <a:ext uri="{FF2B5EF4-FFF2-40B4-BE49-F238E27FC236}">
              <a16:creationId xmlns:a16="http://schemas.microsoft.com/office/drawing/2014/main" id="{09ABF812-C2C2-40E8-A8E7-679FA6E3836B}"/>
            </a:ext>
          </a:extLst>
        </xdr:cNvPr>
        <xdr:cNvSpPr/>
      </xdr:nvSpPr>
      <xdr:spPr bwMode="auto">
        <a:xfrm>
          <a:off x="14382750" y="4196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19</xdr:row>
      <xdr:rowOff>119380</xdr:rowOff>
    </xdr:from>
    <xdr:to>
      <xdr:col>20</xdr:col>
      <xdr:colOff>63500</xdr:colOff>
      <xdr:row>20</xdr:row>
      <xdr:rowOff>0</xdr:rowOff>
    </xdr:to>
    <xdr:sp macro="" textlink="">
      <xdr:nvSpPr>
        <xdr:cNvPr id="93" name="nuNumber: 92" hidden="1">
          <a:extLst>
            <a:ext uri="{FF2B5EF4-FFF2-40B4-BE49-F238E27FC236}">
              <a16:creationId xmlns:a16="http://schemas.microsoft.com/office/drawing/2014/main" id="{28444F98-E95B-4B6C-BBB6-42AC1729B13E}"/>
            </a:ext>
          </a:extLst>
        </xdr:cNvPr>
        <xdr:cNvSpPr/>
      </xdr:nvSpPr>
      <xdr:spPr bwMode="auto">
        <a:xfrm>
          <a:off x="15135225" y="4196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19</xdr:row>
      <xdr:rowOff>119380</xdr:rowOff>
    </xdr:from>
    <xdr:to>
      <xdr:col>21</xdr:col>
      <xdr:colOff>63500</xdr:colOff>
      <xdr:row>20</xdr:row>
      <xdr:rowOff>0</xdr:rowOff>
    </xdr:to>
    <xdr:sp macro="" textlink="">
      <xdr:nvSpPr>
        <xdr:cNvPr id="94" name="nuNumber: 93" hidden="1">
          <a:extLst>
            <a:ext uri="{FF2B5EF4-FFF2-40B4-BE49-F238E27FC236}">
              <a16:creationId xmlns:a16="http://schemas.microsoft.com/office/drawing/2014/main" id="{55000055-C795-4286-8EB9-6106D97FA405}"/>
            </a:ext>
          </a:extLst>
        </xdr:cNvPr>
        <xdr:cNvSpPr/>
      </xdr:nvSpPr>
      <xdr:spPr bwMode="auto">
        <a:xfrm>
          <a:off x="15849600" y="4196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22</xdr:row>
      <xdr:rowOff>119380</xdr:rowOff>
    </xdr:from>
    <xdr:to>
      <xdr:col>8</xdr:col>
      <xdr:colOff>63500</xdr:colOff>
      <xdr:row>23</xdr:row>
      <xdr:rowOff>0</xdr:rowOff>
    </xdr:to>
    <xdr:sp macro="" textlink="">
      <xdr:nvSpPr>
        <xdr:cNvPr id="95" name="nuNumber: 94" hidden="1">
          <a:extLst>
            <a:ext uri="{FF2B5EF4-FFF2-40B4-BE49-F238E27FC236}">
              <a16:creationId xmlns:a16="http://schemas.microsoft.com/office/drawing/2014/main" id="{E6FB6D2B-431F-45BE-8101-9168E0561E57}"/>
            </a:ext>
          </a:extLst>
        </xdr:cNvPr>
        <xdr:cNvSpPr/>
      </xdr:nvSpPr>
      <xdr:spPr bwMode="auto">
        <a:xfrm>
          <a:off x="5562600" y="4824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22</xdr:row>
      <xdr:rowOff>119380</xdr:rowOff>
    </xdr:from>
    <xdr:to>
      <xdr:col>9</xdr:col>
      <xdr:colOff>63500</xdr:colOff>
      <xdr:row>23</xdr:row>
      <xdr:rowOff>0</xdr:rowOff>
    </xdr:to>
    <xdr:sp macro="" textlink="">
      <xdr:nvSpPr>
        <xdr:cNvPr id="96" name="nuNumber: 95" hidden="1">
          <a:extLst>
            <a:ext uri="{FF2B5EF4-FFF2-40B4-BE49-F238E27FC236}">
              <a16:creationId xmlns:a16="http://schemas.microsoft.com/office/drawing/2014/main" id="{C2ED636F-4D07-4FA1-B5A3-2F227181FCC3}"/>
            </a:ext>
          </a:extLst>
        </xdr:cNvPr>
        <xdr:cNvSpPr/>
      </xdr:nvSpPr>
      <xdr:spPr bwMode="auto">
        <a:xfrm>
          <a:off x="6467475" y="4824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22</xdr:row>
      <xdr:rowOff>119380</xdr:rowOff>
    </xdr:from>
    <xdr:to>
      <xdr:col>10</xdr:col>
      <xdr:colOff>63500</xdr:colOff>
      <xdr:row>23</xdr:row>
      <xdr:rowOff>0</xdr:rowOff>
    </xdr:to>
    <xdr:sp macro="" textlink="">
      <xdr:nvSpPr>
        <xdr:cNvPr id="97" name="nuNumber: 96" hidden="1">
          <a:extLst>
            <a:ext uri="{FF2B5EF4-FFF2-40B4-BE49-F238E27FC236}">
              <a16:creationId xmlns:a16="http://schemas.microsoft.com/office/drawing/2014/main" id="{CA553347-F8FD-4C45-AF2B-56FE0A4FA091}"/>
            </a:ext>
          </a:extLst>
        </xdr:cNvPr>
        <xdr:cNvSpPr/>
      </xdr:nvSpPr>
      <xdr:spPr bwMode="auto">
        <a:xfrm>
          <a:off x="7315200" y="4824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22</xdr:row>
      <xdr:rowOff>119380</xdr:rowOff>
    </xdr:from>
    <xdr:to>
      <xdr:col>11</xdr:col>
      <xdr:colOff>63500</xdr:colOff>
      <xdr:row>23</xdr:row>
      <xdr:rowOff>0</xdr:rowOff>
    </xdr:to>
    <xdr:sp macro="" textlink="">
      <xdr:nvSpPr>
        <xdr:cNvPr id="98" name="nuNumber: 97" hidden="1">
          <a:extLst>
            <a:ext uri="{FF2B5EF4-FFF2-40B4-BE49-F238E27FC236}">
              <a16:creationId xmlns:a16="http://schemas.microsoft.com/office/drawing/2014/main" id="{7466B041-49F3-403E-BC95-D0662533AA64}"/>
            </a:ext>
          </a:extLst>
        </xdr:cNvPr>
        <xdr:cNvSpPr/>
      </xdr:nvSpPr>
      <xdr:spPr bwMode="auto">
        <a:xfrm>
          <a:off x="8105775" y="4824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22</xdr:row>
      <xdr:rowOff>119380</xdr:rowOff>
    </xdr:from>
    <xdr:to>
      <xdr:col>12</xdr:col>
      <xdr:colOff>63500</xdr:colOff>
      <xdr:row>23</xdr:row>
      <xdr:rowOff>0</xdr:rowOff>
    </xdr:to>
    <xdr:sp macro="" textlink="">
      <xdr:nvSpPr>
        <xdr:cNvPr id="99" name="nuNumber: 98" hidden="1">
          <a:extLst>
            <a:ext uri="{FF2B5EF4-FFF2-40B4-BE49-F238E27FC236}">
              <a16:creationId xmlns:a16="http://schemas.microsoft.com/office/drawing/2014/main" id="{23A99C6E-90A6-4294-8A73-A38228618EFA}"/>
            </a:ext>
          </a:extLst>
        </xdr:cNvPr>
        <xdr:cNvSpPr/>
      </xdr:nvSpPr>
      <xdr:spPr bwMode="auto">
        <a:xfrm>
          <a:off x="8972550" y="4824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22</xdr:row>
      <xdr:rowOff>119380</xdr:rowOff>
    </xdr:from>
    <xdr:to>
      <xdr:col>13</xdr:col>
      <xdr:colOff>63500</xdr:colOff>
      <xdr:row>23</xdr:row>
      <xdr:rowOff>0</xdr:rowOff>
    </xdr:to>
    <xdr:sp macro="" textlink="">
      <xdr:nvSpPr>
        <xdr:cNvPr id="100" name="nuNumber: 99" hidden="1">
          <a:extLst>
            <a:ext uri="{FF2B5EF4-FFF2-40B4-BE49-F238E27FC236}">
              <a16:creationId xmlns:a16="http://schemas.microsoft.com/office/drawing/2014/main" id="{6D7A6949-28C4-4E7B-8912-6F16CFF9081C}"/>
            </a:ext>
          </a:extLst>
        </xdr:cNvPr>
        <xdr:cNvSpPr/>
      </xdr:nvSpPr>
      <xdr:spPr bwMode="auto">
        <a:xfrm>
          <a:off x="9753600" y="4824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22</xdr:row>
      <xdr:rowOff>119380</xdr:rowOff>
    </xdr:from>
    <xdr:to>
      <xdr:col>14</xdr:col>
      <xdr:colOff>63500</xdr:colOff>
      <xdr:row>23</xdr:row>
      <xdr:rowOff>0</xdr:rowOff>
    </xdr:to>
    <xdr:sp macro="" textlink="">
      <xdr:nvSpPr>
        <xdr:cNvPr id="101" name="nuNumber: 100" hidden="1">
          <a:extLst>
            <a:ext uri="{FF2B5EF4-FFF2-40B4-BE49-F238E27FC236}">
              <a16:creationId xmlns:a16="http://schemas.microsoft.com/office/drawing/2014/main" id="{B272391E-2B8B-4589-80A5-F047904A6EB4}"/>
            </a:ext>
          </a:extLst>
        </xdr:cNvPr>
        <xdr:cNvSpPr/>
      </xdr:nvSpPr>
      <xdr:spPr bwMode="auto">
        <a:xfrm>
          <a:off x="10515600" y="4824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22</xdr:row>
      <xdr:rowOff>119380</xdr:rowOff>
    </xdr:from>
    <xdr:to>
      <xdr:col>15</xdr:col>
      <xdr:colOff>63500</xdr:colOff>
      <xdr:row>23</xdr:row>
      <xdr:rowOff>0</xdr:rowOff>
    </xdr:to>
    <xdr:sp macro="" textlink="">
      <xdr:nvSpPr>
        <xdr:cNvPr id="102" name="nuNumber: 101" hidden="1">
          <a:extLst>
            <a:ext uri="{FF2B5EF4-FFF2-40B4-BE49-F238E27FC236}">
              <a16:creationId xmlns:a16="http://schemas.microsoft.com/office/drawing/2014/main" id="{EEED55CD-C18D-49EB-ADC1-2E23C9936BD5}"/>
            </a:ext>
          </a:extLst>
        </xdr:cNvPr>
        <xdr:cNvSpPr/>
      </xdr:nvSpPr>
      <xdr:spPr bwMode="auto">
        <a:xfrm>
          <a:off x="11325225" y="4824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22</xdr:row>
      <xdr:rowOff>119380</xdr:rowOff>
    </xdr:from>
    <xdr:to>
      <xdr:col>16</xdr:col>
      <xdr:colOff>63500</xdr:colOff>
      <xdr:row>23</xdr:row>
      <xdr:rowOff>0</xdr:rowOff>
    </xdr:to>
    <xdr:sp macro="" textlink="">
      <xdr:nvSpPr>
        <xdr:cNvPr id="103" name="nuNumber: 102" hidden="1">
          <a:extLst>
            <a:ext uri="{FF2B5EF4-FFF2-40B4-BE49-F238E27FC236}">
              <a16:creationId xmlns:a16="http://schemas.microsoft.com/office/drawing/2014/main" id="{46FDC9C5-CB8A-4D1A-B874-9B8C02358183}"/>
            </a:ext>
          </a:extLst>
        </xdr:cNvPr>
        <xdr:cNvSpPr/>
      </xdr:nvSpPr>
      <xdr:spPr bwMode="auto">
        <a:xfrm>
          <a:off x="12106275" y="4824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22</xdr:row>
      <xdr:rowOff>119380</xdr:rowOff>
    </xdr:from>
    <xdr:to>
      <xdr:col>17</xdr:col>
      <xdr:colOff>63500</xdr:colOff>
      <xdr:row>23</xdr:row>
      <xdr:rowOff>0</xdr:rowOff>
    </xdr:to>
    <xdr:sp macro="" textlink="">
      <xdr:nvSpPr>
        <xdr:cNvPr id="104" name="nuNumber: 103" hidden="1">
          <a:extLst>
            <a:ext uri="{FF2B5EF4-FFF2-40B4-BE49-F238E27FC236}">
              <a16:creationId xmlns:a16="http://schemas.microsoft.com/office/drawing/2014/main" id="{67BE36F1-66FB-4D86-99E7-77B60D65697A}"/>
            </a:ext>
          </a:extLst>
        </xdr:cNvPr>
        <xdr:cNvSpPr/>
      </xdr:nvSpPr>
      <xdr:spPr bwMode="auto">
        <a:xfrm>
          <a:off x="12887325" y="4824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22</xdr:row>
      <xdr:rowOff>119380</xdr:rowOff>
    </xdr:from>
    <xdr:to>
      <xdr:col>18</xdr:col>
      <xdr:colOff>63499</xdr:colOff>
      <xdr:row>23</xdr:row>
      <xdr:rowOff>0</xdr:rowOff>
    </xdr:to>
    <xdr:sp macro="" textlink="">
      <xdr:nvSpPr>
        <xdr:cNvPr id="105" name="nuNumber: 104" hidden="1">
          <a:extLst>
            <a:ext uri="{FF2B5EF4-FFF2-40B4-BE49-F238E27FC236}">
              <a16:creationId xmlns:a16="http://schemas.microsoft.com/office/drawing/2014/main" id="{BE75CD02-2B34-4384-A636-73D9AA1E9C8D}"/>
            </a:ext>
          </a:extLst>
        </xdr:cNvPr>
        <xdr:cNvSpPr/>
      </xdr:nvSpPr>
      <xdr:spPr bwMode="auto">
        <a:xfrm>
          <a:off x="13624559" y="482473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22</xdr:row>
      <xdr:rowOff>119380</xdr:rowOff>
    </xdr:from>
    <xdr:to>
      <xdr:col>19</xdr:col>
      <xdr:colOff>63500</xdr:colOff>
      <xdr:row>23</xdr:row>
      <xdr:rowOff>0</xdr:rowOff>
    </xdr:to>
    <xdr:sp macro="" textlink="">
      <xdr:nvSpPr>
        <xdr:cNvPr id="106" name="nuNumber: 105" hidden="1">
          <a:extLst>
            <a:ext uri="{FF2B5EF4-FFF2-40B4-BE49-F238E27FC236}">
              <a16:creationId xmlns:a16="http://schemas.microsoft.com/office/drawing/2014/main" id="{DDC4DD7E-560F-4526-9083-75E590CED4C4}"/>
            </a:ext>
          </a:extLst>
        </xdr:cNvPr>
        <xdr:cNvSpPr/>
      </xdr:nvSpPr>
      <xdr:spPr bwMode="auto">
        <a:xfrm>
          <a:off x="14382750" y="4824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22</xdr:row>
      <xdr:rowOff>119380</xdr:rowOff>
    </xdr:from>
    <xdr:to>
      <xdr:col>20</xdr:col>
      <xdr:colOff>63500</xdr:colOff>
      <xdr:row>23</xdr:row>
      <xdr:rowOff>0</xdr:rowOff>
    </xdr:to>
    <xdr:sp macro="" textlink="">
      <xdr:nvSpPr>
        <xdr:cNvPr id="107" name="nuNumber: 106" hidden="1">
          <a:extLst>
            <a:ext uri="{FF2B5EF4-FFF2-40B4-BE49-F238E27FC236}">
              <a16:creationId xmlns:a16="http://schemas.microsoft.com/office/drawing/2014/main" id="{9AD6B277-7F75-41F8-A779-8E005618E41D}"/>
            </a:ext>
          </a:extLst>
        </xdr:cNvPr>
        <xdr:cNvSpPr/>
      </xdr:nvSpPr>
      <xdr:spPr bwMode="auto">
        <a:xfrm>
          <a:off x="15135225" y="4824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22</xdr:row>
      <xdr:rowOff>119380</xdr:rowOff>
    </xdr:from>
    <xdr:to>
      <xdr:col>21</xdr:col>
      <xdr:colOff>63500</xdr:colOff>
      <xdr:row>23</xdr:row>
      <xdr:rowOff>0</xdr:rowOff>
    </xdr:to>
    <xdr:sp macro="" textlink="">
      <xdr:nvSpPr>
        <xdr:cNvPr id="108" name="nuNumber: 107" hidden="1">
          <a:extLst>
            <a:ext uri="{FF2B5EF4-FFF2-40B4-BE49-F238E27FC236}">
              <a16:creationId xmlns:a16="http://schemas.microsoft.com/office/drawing/2014/main" id="{8C31D01F-D09E-4654-9F99-39FF8A39F0CE}"/>
            </a:ext>
          </a:extLst>
        </xdr:cNvPr>
        <xdr:cNvSpPr/>
      </xdr:nvSpPr>
      <xdr:spPr bwMode="auto">
        <a:xfrm>
          <a:off x="15849600" y="4824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23</xdr:row>
      <xdr:rowOff>119380</xdr:rowOff>
    </xdr:from>
    <xdr:to>
      <xdr:col>10</xdr:col>
      <xdr:colOff>63500</xdr:colOff>
      <xdr:row>24</xdr:row>
      <xdr:rowOff>0</xdr:rowOff>
    </xdr:to>
    <xdr:sp macro="" textlink="">
      <xdr:nvSpPr>
        <xdr:cNvPr id="109" name="nuNumber: 108" hidden="1">
          <a:extLst>
            <a:ext uri="{FF2B5EF4-FFF2-40B4-BE49-F238E27FC236}">
              <a16:creationId xmlns:a16="http://schemas.microsoft.com/office/drawing/2014/main" id="{CFEAFB9E-EFBE-4654-B34E-C72ED8016A03}"/>
            </a:ext>
          </a:extLst>
        </xdr:cNvPr>
        <xdr:cNvSpPr/>
      </xdr:nvSpPr>
      <xdr:spPr bwMode="auto">
        <a:xfrm>
          <a:off x="7315200" y="50342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23</xdr:row>
      <xdr:rowOff>119380</xdr:rowOff>
    </xdr:from>
    <xdr:to>
      <xdr:col>11</xdr:col>
      <xdr:colOff>63500</xdr:colOff>
      <xdr:row>24</xdr:row>
      <xdr:rowOff>0</xdr:rowOff>
    </xdr:to>
    <xdr:sp macro="" textlink="">
      <xdr:nvSpPr>
        <xdr:cNvPr id="110" name="nuNumber: 109" hidden="1">
          <a:extLst>
            <a:ext uri="{FF2B5EF4-FFF2-40B4-BE49-F238E27FC236}">
              <a16:creationId xmlns:a16="http://schemas.microsoft.com/office/drawing/2014/main" id="{4A32C854-3A2F-4383-9EF9-9F53969E6536}"/>
            </a:ext>
          </a:extLst>
        </xdr:cNvPr>
        <xdr:cNvSpPr/>
      </xdr:nvSpPr>
      <xdr:spPr bwMode="auto">
        <a:xfrm>
          <a:off x="8105775" y="50342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23</xdr:row>
      <xdr:rowOff>119380</xdr:rowOff>
    </xdr:from>
    <xdr:to>
      <xdr:col>12</xdr:col>
      <xdr:colOff>63500</xdr:colOff>
      <xdr:row>24</xdr:row>
      <xdr:rowOff>0</xdr:rowOff>
    </xdr:to>
    <xdr:sp macro="" textlink="">
      <xdr:nvSpPr>
        <xdr:cNvPr id="111" name="nuNumber: 110" hidden="1">
          <a:extLst>
            <a:ext uri="{FF2B5EF4-FFF2-40B4-BE49-F238E27FC236}">
              <a16:creationId xmlns:a16="http://schemas.microsoft.com/office/drawing/2014/main" id="{885F132D-CAAA-4E3B-BD7A-22C9D80B0B07}"/>
            </a:ext>
          </a:extLst>
        </xdr:cNvPr>
        <xdr:cNvSpPr/>
      </xdr:nvSpPr>
      <xdr:spPr bwMode="auto">
        <a:xfrm>
          <a:off x="8972550" y="50342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23</xdr:row>
      <xdr:rowOff>119380</xdr:rowOff>
    </xdr:from>
    <xdr:to>
      <xdr:col>13</xdr:col>
      <xdr:colOff>63500</xdr:colOff>
      <xdr:row>24</xdr:row>
      <xdr:rowOff>0</xdr:rowOff>
    </xdr:to>
    <xdr:sp macro="" textlink="">
      <xdr:nvSpPr>
        <xdr:cNvPr id="112" name="nuNumber: 111" hidden="1">
          <a:extLst>
            <a:ext uri="{FF2B5EF4-FFF2-40B4-BE49-F238E27FC236}">
              <a16:creationId xmlns:a16="http://schemas.microsoft.com/office/drawing/2014/main" id="{EE843EE1-3DD7-45FC-B10B-E62D39E1EAF0}"/>
            </a:ext>
          </a:extLst>
        </xdr:cNvPr>
        <xdr:cNvSpPr/>
      </xdr:nvSpPr>
      <xdr:spPr bwMode="auto">
        <a:xfrm>
          <a:off x="9753600" y="50342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23</xdr:row>
      <xdr:rowOff>119380</xdr:rowOff>
    </xdr:from>
    <xdr:to>
      <xdr:col>14</xdr:col>
      <xdr:colOff>63500</xdr:colOff>
      <xdr:row>24</xdr:row>
      <xdr:rowOff>0</xdr:rowOff>
    </xdr:to>
    <xdr:sp macro="" textlink="">
      <xdr:nvSpPr>
        <xdr:cNvPr id="113" name="nuNumber: 112" hidden="1">
          <a:extLst>
            <a:ext uri="{FF2B5EF4-FFF2-40B4-BE49-F238E27FC236}">
              <a16:creationId xmlns:a16="http://schemas.microsoft.com/office/drawing/2014/main" id="{882CAE1E-2980-4E51-ACE5-0C0D71D3CCB4}"/>
            </a:ext>
          </a:extLst>
        </xdr:cNvPr>
        <xdr:cNvSpPr/>
      </xdr:nvSpPr>
      <xdr:spPr bwMode="auto">
        <a:xfrm>
          <a:off x="10515600" y="50342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23</xdr:row>
      <xdr:rowOff>119380</xdr:rowOff>
    </xdr:from>
    <xdr:to>
      <xdr:col>15</xdr:col>
      <xdr:colOff>63500</xdr:colOff>
      <xdr:row>24</xdr:row>
      <xdr:rowOff>0</xdr:rowOff>
    </xdr:to>
    <xdr:sp macro="" textlink="">
      <xdr:nvSpPr>
        <xdr:cNvPr id="114" name="nuNumber: 113" hidden="1">
          <a:extLst>
            <a:ext uri="{FF2B5EF4-FFF2-40B4-BE49-F238E27FC236}">
              <a16:creationId xmlns:a16="http://schemas.microsoft.com/office/drawing/2014/main" id="{3B695789-5666-482F-8367-1888B207BE7D}"/>
            </a:ext>
          </a:extLst>
        </xdr:cNvPr>
        <xdr:cNvSpPr/>
      </xdr:nvSpPr>
      <xdr:spPr bwMode="auto">
        <a:xfrm>
          <a:off x="11325225" y="50342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23</xdr:row>
      <xdr:rowOff>119380</xdr:rowOff>
    </xdr:from>
    <xdr:to>
      <xdr:col>16</xdr:col>
      <xdr:colOff>63500</xdr:colOff>
      <xdr:row>24</xdr:row>
      <xdr:rowOff>0</xdr:rowOff>
    </xdr:to>
    <xdr:sp macro="" textlink="">
      <xdr:nvSpPr>
        <xdr:cNvPr id="115" name="nuNumber: 114" hidden="1">
          <a:extLst>
            <a:ext uri="{FF2B5EF4-FFF2-40B4-BE49-F238E27FC236}">
              <a16:creationId xmlns:a16="http://schemas.microsoft.com/office/drawing/2014/main" id="{AE2FD4F2-82E8-4B04-93A2-1B75932439F4}"/>
            </a:ext>
          </a:extLst>
        </xdr:cNvPr>
        <xdr:cNvSpPr/>
      </xdr:nvSpPr>
      <xdr:spPr bwMode="auto">
        <a:xfrm>
          <a:off x="12106275" y="50342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23</xdr:row>
      <xdr:rowOff>119380</xdr:rowOff>
    </xdr:from>
    <xdr:to>
      <xdr:col>17</xdr:col>
      <xdr:colOff>63500</xdr:colOff>
      <xdr:row>24</xdr:row>
      <xdr:rowOff>0</xdr:rowOff>
    </xdr:to>
    <xdr:sp macro="" textlink="">
      <xdr:nvSpPr>
        <xdr:cNvPr id="116" name="nuNumber: 115" hidden="1">
          <a:extLst>
            <a:ext uri="{FF2B5EF4-FFF2-40B4-BE49-F238E27FC236}">
              <a16:creationId xmlns:a16="http://schemas.microsoft.com/office/drawing/2014/main" id="{D4AF10EB-9D8B-422F-B02D-60FF7E4D6312}"/>
            </a:ext>
          </a:extLst>
        </xdr:cNvPr>
        <xdr:cNvSpPr/>
      </xdr:nvSpPr>
      <xdr:spPr bwMode="auto">
        <a:xfrm>
          <a:off x="12887325" y="50342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23</xdr:row>
      <xdr:rowOff>119380</xdr:rowOff>
    </xdr:from>
    <xdr:to>
      <xdr:col>18</xdr:col>
      <xdr:colOff>63499</xdr:colOff>
      <xdr:row>24</xdr:row>
      <xdr:rowOff>0</xdr:rowOff>
    </xdr:to>
    <xdr:sp macro="" textlink="">
      <xdr:nvSpPr>
        <xdr:cNvPr id="117" name="nuNumber: 116" hidden="1">
          <a:extLst>
            <a:ext uri="{FF2B5EF4-FFF2-40B4-BE49-F238E27FC236}">
              <a16:creationId xmlns:a16="http://schemas.microsoft.com/office/drawing/2014/main" id="{CFBABF63-06C0-4A2A-8EE0-4E1B4FADC066}"/>
            </a:ext>
          </a:extLst>
        </xdr:cNvPr>
        <xdr:cNvSpPr/>
      </xdr:nvSpPr>
      <xdr:spPr bwMode="auto">
        <a:xfrm>
          <a:off x="13624559" y="503428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23</xdr:row>
      <xdr:rowOff>119380</xdr:rowOff>
    </xdr:from>
    <xdr:to>
      <xdr:col>19</xdr:col>
      <xdr:colOff>63500</xdr:colOff>
      <xdr:row>24</xdr:row>
      <xdr:rowOff>0</xdr:rowOff>
    </xdr:to>
    <xdr:sp macro="" textlink="">
      <xdr:nvSpPr>
        <xdr:cNvPr id="118" name="nuNumber: 117" hidden="1">
          <a:extLst>
            <a:ext uri="{FF2B5EF4-FFF2-40B4-BE49-F238E27FC236}">
              <a16:creationId xmlns:a16="http://schemas.microsoft.com/office/drawing/2014/main" id="{91EAE218-2F60-493F-88FD-660C1F34FA3F}"/>
            </a:ext>
          </a:extLst>
        </xdr:cNvPr>
        <xdr:cNvSpPr/>
      </xdr:nvSpPr>
      <xdr:spPr bwMode="auto">
        <a:xfrm>
          <a:off x="14382750" y="50342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23</xdr:row>
      <xdr:rowOff>119380</xdr:rowOff>
    </xdr:from>
    <xdr:to>
      <xdr:col>20</xdr:col>
      <xdr:colOff>63500</xdr:colOff>
      <xdr:row>24</xdr:row>
      <xdr:rowOff>0</xdr:rowOff>
    </xdr:to>
    <xdr:sp macro="" textlink="">
      <xdr:nvSpPr>
        <xdr:cNvPr id="119" name="nuNumber: 118" hidden="1">
          <a:extLst>
            <a:ext uri="{FF2B5EF4-FFF2-40B4-BE49-F238E27FC236}">
              <a16:creationId xmlns:a16="http://schemas.microsoft.com/office/drawing/2014/main" id="{47BC0C0E-5060-46F7-8D80-3AE2C47D609A}"/>
            </a:ext>
          </a:extLst>
        </xdr:cNvPr>
        <xdr:cNvSpPr/>
      </xdr:nvSpPr>
      <xdr:spPr bwMode="auto">
        <a:xfrm>
          <a:off x="15135225" y="50342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23</xdr:row>
      <xdr:rowOff>119380</xdr:rowOff>
    </xdr:from>
    <xdr:to>
      <xdr:col>21</xdr:col>
      <xdr:colOff>63500</xdr:colOff>
      <xdr:row>24</xdr:row>
      <xdr:rowOff>0</xdr:rowOff>
    </xdr:to>
    <xdr:sp macro="" textlink="">
      <xdr:nvSpPr>
        <xdr:cNvPr id="120" name="nuNumber: 119" hidden="1">
          <a:extLst>
            <a:ext uri="{FF2B5EF4-FFF2-40B4-BE49-F238E27FC236}">
              <a16:creationId xmlns:a16="http://schemas.microsoft.com/office/drawing/2014/main" id="{EA5258B8-B48A-436A-83E1-B4662466DCC6}"/>
            </a:ext>
          </a:extLst>
        </xdr:cNvPr>
        <xdr:cNvSpPr/>
      </xdr:nvSpPr>
      <xdr:spPr bwMode="auto">
        <a:xfrm>
          <a:off x="15849600" y="50342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24</xdr:row>
      <xdr:rowOff>119380</xdr:rowOff>
    </xdr:from>
    <xdr:to>
      <xdr:col>8</xdr:col>
      <xdr:colOff>63500</xdr:colOff>
      <xdr:row>25</xdr:row>
      <xdr:rowOff>0</xdr:rowOff>
    </xdr:to>
    <xdr:sp macro="" textlink="">
      <xdr:nvSpPr>
        <xdr:cNvPr id="121" name="nuNumber: 120" hidden="1">
          <a:extLst>
            <a:ext uri="{FF2B5EF4-FFF2-40B4-BE49-F238E27FC236}">
              <a16:creationId xmlns:a16="http://schemas.microsoft.com/office/drawing/2014/main" id="{9AD1EB98-F968-42AC-90E9-C4671F18DB91}"/>
            </a:ext>
          </a:extLst>
        </xdr:cNvPr>
        <xdr:cNvSpPr/>
      </xdr:nvSpPr>
      <xdr:spPr bwMode="auto">
        <a:xfrm>
          <a:off x="5562600" y="5243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24</xdr:row>
      <xdr:rowOff>119380</xdr:rowOff>
    </xdr:from>
    <xdr:to>
      <xdr:col>9</xdr:col>
      <xdr:colOff>63500</xdr:colOff>
      <xdr:row>25</xdr:row>
      <xdr:rowOff>0</xdr:rowOff>
    </xdr:to>
    <xdr:sp macro="" textlink="">
      <xdr:nvSpPr>
        <xdr:cNvPr id="122" name="nuNumber: 121" hidden="1">
          <a:extLst>
            <a:ext uri="{FF2B5EF4-FFF2-40B4-BE49-F238E27FC236}">
              <a16:creationId xmlns:a16="http://schemas.microsoft.com/office/drawing/2014/main" id="{388E3174-6A7F-4484-8470-02C4348D168F}"/>
            </a:ext>
          </a:extLst>
        </xdr:cNvPr>
        <xdr:cNvSpPr/>
      </xdr:nvSpPr>
      <xdr:spPr bwMode="auto">
        <a:xfrm>
          <a:off x="6467475" y="5243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24</xdr:row>
      <xdr:rowOff>119380</xdr:rowOff>
    </xdr:from>
    <xdr:to>
      <xdr:col>9</xdr:col>
      <xdr:colOff>63500</xdr:colOff>
      <xdr:row>25</xdr:row>
      <xdr:rowOff>0</xdr:rowOff>
    </xdr:to>
    <xdr:sp macro="" textlink="">
      <xdr:nvSpPr>
        <xdr:cNvPr id="123" name="nuNumber: 122" hidden="1">
          <a:extLst>
            <a:ext uri="{FF2B5EF4-FFF2-40B4-BE49-F238E27FC236}">
              <a16:creationId xmlns:a16="http://schemas.microsoft.com/office/drawing/2014/main" id="{48130306-50CE-4094-AF82-6FA9E28CF87F}"/>
            </a:ext>
          </a:extLst>
        </xdr:cNvPr>
        <xdr:cNvSpPr/>
      </xdr:nvSpPr>
      <xdr:spPr bwMode="auto">
        <a:xfrm>
          <a:off x="6467475" y="5243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24</xdr:row>
      <xdr:rowOff>119380</xdr:rowOff>
    </xdr:from>
    <xdr:to>
      <xdr:col>10</xdr:col>
      <xdr:colOff>63500</xdr:colOff>
      <xdr:row>25</xdr:row>
      <xdr:rowOff>0</xdr:rowOff>
    </xdr:to>
    <xdr:sp macro="" textlink="">
      <xdr:nvSpPr>
        <xdr:cNvPr id="124" name="nuNumber: 123" hidden="1">
          <a:extLst>
            <a:ext uri="{FF2B5EF4-FFF2-40B4-BE49-F238E27FC236}">
              <a16:creationId xmlns:a16="http://schemas.microsoft.com/office/drawing/2014/main" id="{CBD55BD2-BEF0-487C-8FF0-676192D7F642}"/>
            </a:ext>
          </a:extLst>
        </xdr:cNvPr>
        <xdr:cNvSpPr/>
      </xdr:nvSpPr>
      <xdr:spPr bwMode="auto">
        <a:xfrm>
          <a:off x="7315200" y="5243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24</xdr:row>
      <xdr:rowOff>119380</xdr:rowOff>
    </xdr:from>
    <xdr:to>
      <xdr:col>11</xdr:col>
      <xdr:colOff>63500</xdr:colOff>
      <xdr:row>25</xdr:row>
      <xdr:rowOff>0</xdr:rowOff>
    </xdr:to>
    <xdr:sp macro="" textlink="">
      <xdr:nvSpPr>
        <xdr:cNvPr id="125" name="nuNumber: 124" hidden="1">
          <a:extLst>
            <a:ext uri="{FF2B5EF4-FFF2-40B4-BE49-F238E27FC236}">
              <a16:creationId xmlns:a16="http://schemas.microsoft.com/office/drawing/2014/main" id="{585DB2F4-3EAD-49D7-8A72-C99DB8967613}"/>
            </a:ext>
          </a:extLst>
        </xdr:cNvPr>
        <xdr:cNvSpPr/>
      </xdr:nvSpPr>
      <xdr:spPr bwMode="auto">
        <a:xfrm>
          <a:off x="8105775" y="5243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24</xdr:row>
      <xdr:rowOff>119380</xdr:rowOff>
    </xdr:from>
    <xdr:to>
      <xdr:col>12</xdr:col>
      <xdr:colOff>63500</xdr:colOff>
      <xdr:row>25</xdr:row>
      <xdr:rowOff>0</xdr:rowOff>
    </xdr:to>
    <xdr:sp macro="" textlink="">
      <xdr:nvSpPr>
        <xdr:cNvPr id="126" name="nuNumber: 125" hidden="1">
          <a:extLst>
            <a:ext uri="{FF2B5EF4-FFF2-40B4-BE49-F238E27FC236}">
              <a16:creationId xmlns:a16="http://schemas.microsoft.com/office/drawing/2014/main" id="{2F655473-3257-4D5D-A4A7-CFA9A266D149}"/>
            </a:ext>
          </a:extLst>
        </xdr:cNvPr>
        <xdr:cNvSpPr/>
      </xdr:nvSpPr>
      <xdr:spPr bwMode="auto">
        <a:xfrm>
          <a:off x="8972550" y="5243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24</xdr:row>
      <xdr:rowOff>119380</xdr:rowOff>
    </xdr:from>
    <xdr:to>
      <xdr:col>13</xdr:col>
      <xdr:colOff>63500</xdr:colOff>
      <xdr:row>25</xdr:row>
      <xdr:rowOff>0</xdr:rowOff>
    </xdr:to>
    <xdr:sp macro="" textlink="">
      <xdr:nvSpPr>
        <xdr:cNvPr id="127" name="nuNumber: 126" hidden="1">
          <a:extLst>
            <a:ext uri="{FF2B5EF4-FFF2-40B4-BE49-F238E27FC236}">
              <a16:creationId xmlns:a16="http://schemas.microsoft.com/office/drawing/2014/main" id="{D7259E57-F539-410C-9ED8-69D7ED469FEA}"/>
            </a:ext>
          </a:extLst>
        </xdr:cNvPr>
        <xdr:cNvSpPr/>
      </xdr:nvSpPr>
      <xdr:spPr bwMode="auto">
        <a:xfrm>
          <a:off x="9753600" y="5243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24</xdr:row>
      <xdr:rowOff>119380</xdr:rowOff>
    </xdr:from>
    <xdr:to>
      <xdr:col>14</xdr:col>
      <xdr:colOff>63500</xdr:colOff>
      <xdr:row>25</xdr:row>
      <xdr:rowOff>0</xdr:rowOff>
    </xdr:to>
    <xdr:sp macro="" textlink="">
      <xdr:nvSpPr>
        <xdr:cNvPr id="128" name="nuNumber: 127" hidden="1">
          <a:extLst>
            <a:ext uri="{FF2B5EF4-FFF2-40B4-BE49-F238E27FC236}">
              <a16:creationId xmlns:a16="http://schemas.microsoft.com/office/drawing/2014/main" id="{E8C43A07-01C2-48EF-A46F-B4F8E43B51EF}"/>
            </a:ext>
          </a:extLst>
        </xdr:cNvPr>
        <xdr:cNvSpPr/>
      </xdr:nvSpPr>
      <xdr:spPr bwMode="auto">
        <a:xfrm>
          <a:off x="10515600" y="5243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24</xdr:row>
      <xdr:rowOff>119380</xdr:rowOff>
    </xdr:from>
    <xdr:to>
      <xdr:col>15</xdr:col>
      <xdr:colOff>63500</xdr:colOff>
      <xdr:row>25</xdr:row>
      <xdr:rowOff>0</xdr:rowOff>
    </xdr:to>
    <xdr:sp macro="" textlink="">
      <xdr:nvSpPr>
        <xdr:cNvPr id="129" name="nuNumber: 128" hidden="1">
          <a:extLst>
            <a:ext uri="{FF2B5EF4-FFF2-40B4-BE49-F238E27FC236}">
              <a16:creationId xmlns:a16="http://schemas.microsoft.com/office/drawing/2014/main" id="{8459CB67-9221-4B05-A205-DCCC62AE56F7}"/>
            </a:ext>
          </a:extLst>
        </xdr:cNvPr>
        <xdr:cNvSpPr/>
      </xdr:nvSpPr>
      <xdr:spPr bwMode="auto">
        <a:xfrm>
          <a:off x="11325225" y="5243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24</xdr:row>
      <xdr:rowOff>119380</xdr:rowOff>
    </xdr:from>
    <xdr:to>
      <xdr:col>16</xdr:col>
      <xdr:colOff>63500</xdr:colOff>
      <xdr:row>25</xdr:row>
      <xdr:rowOff>0</xdr:rowOff>
    </xdr:to>
    <xdr:sp macro="" textlink="">
      <xdr:nvSpPr>
        <xdr:cNvPr id="130" name="nuNumber: 129" hidden="1">
          <a:extLst>
            <a:ext uri="{FF2B5EF4-FFF2-40B4-BE49-F238E27FC236}">
              <a16:creationId xmlns:a16="http://schemas.microsoft.com/office/drawing/2014/main" id="{8A2705FD-2F33-47E0-AA06-8553C515129F}"/>
            </a:ext>
          </a:extLst>
        </xdr:cNvPr>
        <xdr:cNvSpPr/>
      </xdr:nvSpPr>
      <xdr:spPr bwMode="auto">
        <a:xfrm>
          <a:off x="12106275" y="5243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24</xdr:row>
      <xdr:rowOff>119380</xdr:rowOff>
    </xdr:from>
    <xdr:to>
      <xdr:col>17</xdr:col>
      <xdr:colOff>63500</xdr:colOff>
      <xdr:row>25</xdr:row>
      <xdr:rowOff>0</xdr:rowOff>
    </xdr:to>
    <xdr:sp macro="" textlink="">
      <xdr:nvSpPr>
        <xdr:cNvPr id="131" name="nuNumber: 130" hidden="1">
          <a:extLst>
            <a:ext uri="{FF2B5EF4-FFF2-40B4-BE49-F238E27FC236}">
              <a16:creationId xmlns:a16="http://schemas.microsoft.com/office/drawing/2014/main" id="{6FBB0DB1-9A1C-4C8E-B478-7192568C5012}"/>
            </a:ext>
          </a:extLst>
        </xdr:cNvPr>
        <xdr:cNvSpPr/>
      </xdr:nvSpPr>
      <xdr:spPr bwMode="auto">
        <a:xfrm>
          <a:off x="12887325" y="5243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24</xdr:row>
      <xdr:rowOff>119380</xdr:rowOff>
    </xdr:from>
    <xdr:to>
      <xdr:col>18</xdr:col>
      <xdr:colOff>63499</xdr:colOff>
      <xdr:row>25</xdr:row>
      <xdr:rowOff>0</xdr:rowOff>
    </xdr:to>
    <xdr:sp macro="" textlink="">
      <xdr:nvSpPr>
        <xdr:cNvPr id="132" name="nuNumber: 131" hidden="1">
          <a:extLst>
            <a:ext uri="{FF2B5EF4-FFF2-40B4-BE49-F238E27FC236}">
              <a16:creationId xmlns:a16="http://schemas.microsoft.com/office/drawing/2014/main" id="{B8797338-C080-4F9A-88CC-B066162008C5}"/>
            </a:ext>
          </a:extLst>
        </xdr:cNvPr>
        <xdr:cNvSpPr/>
      </xdr:nvSpPr>
      <xdr:spPr bwMode="auto">
        <a:xfrm>
          <a:off x="13624559" y="524383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24</xdr:row>
      <xdr:rowOff>119380</xdr:rowOff>
    </xdr:from>
    <xdr:to>
      <xdr:col>19</xdr:col>
      <xdr:colOff>63500</xdr:colOff>
      <xdr:row>25</xdr:row>
      <xdr:rowOff>0</xdr:rowOff>
    </xdr:to>
    <xdr:sp macro="" textlink="">
      <xdr:nvSpPr>
        <xdr:cNvPr id="133" name="nuNumber: 132" hidden="1">
          <a:extLst>
            <a:ext uri="{FF2B5EF4-FFF2-40B4-BE49-F238E27FC236}">
              <a16:creationId xmlns:a16="http://schemas.microsoft.com/office/drawing/2014/main" id="{52FE9C80-C2B2-44CA-AD63-517B6C0E2329}"/>
            </a:ext>
          </a:extLst>
        </xdr:cNvPr>
        <xdr:cNvSpPr/>
      </xdr:nvSpPr>
      <xdr:spPr bwMode="auto">
        <a:xfrm>
          <a:off x="14382750" y="5243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24</xdr:row>
      <xdr:rowOff>119380</xdr:rowOff>
    </xdr:from>
    <xdr:to>
      <xdr:col>20</xdr:col>
      <xdr:colOff>63500</xdr:colOff>
      <xdr:row>25</xdr:row>
      <xdr:rowOff>0</xdr:rowOff>
    </xdr:to>
    <xdr:sp macro="" textlink="">
      <xdr:nvSpPr>
        <xdr:cNvPr id="134" name="nuNumber: 133" hidden="1">
          <a:extLst>
            <a:ext uri="{FF2B5EF4-FFF2-40B4-BE49-F238E27FC236}">
              <a16:creationId xmlns:a16="http://schemas.microsoft.com/office/drawing/2014/main" id="{89C9F924-A0E3-43DB-A96C-A55AE29426C9}"/>
            </a:ext>
          </a:extLst>
        </xdr:cNvPr>
        <xdr:cNvSpPr/>
      </xdr:nvSpPr>
      <xdr:spPr bwMode="auto">
        <a:xfrm>
          <a:off x="15135225" y="5243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24</xdr:row>
      <xdr:rowOff>119380</xdr:rowOff>
    </xdr:from>
    <xdr:to>
      <xdr:col>21</xdr:col>
      <xdr:colOff>63500</xdr:colOff>
      <xdr:row>25</xdr:row>
      <xdr:rowOff>0</xdr:rowOff>
    </xdr:to>
    <xdr:sp macro="" textlink="">
      <xdr:nvSpPr>
        <xdr:cNvPr id="135" name="nuNumber: 134" hidden="1">
          <a:extLst>
            <a:ext uri="{FF2B5EF4-FFF2-40B4-BE49-F238E27FC236}">
              <a16:creationId xmlns:a16="http://schemas.microsoft.com/office/drawing/2014/main" id="{2935B34F-B053-4775-A09A-8C26778C84DD}"/>
            </a:ext>
          </a:extLst>
        </xdr:cNvPr>
        <xdr:cNvSpPr/>
      </xdr:nvSpPr>
      <xdr:spPr bwMode="auto">
        <a:xfrm>
          <a:off x="15849600" y="5243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27</xdr:row>
      <xdr:rowOff>119380</xdr:rowOff>
    </xdr:from>
    <xdr:to>
      <xdr:col>8</xdr:col>
      <xdr:colOff>63500</xdr:colOff>
      <xdr:row>28</xdr:row>
      <xdr:rowOff>0</xdr:rowOff>
    </xdr:to>
    <xdr:sp macro="" textlink="">
      <xdr:nvSpPr>
        <xdr:cNvPr id="136" name="nuNumber: 135" hidden="1">
          <a:extLst>
            <a:ext uri="{FF2B5EF4-FFF2-40B4-BE49-F238E27FC236}">
              <a16:creationId xmlns:a16="http://schemas.microsoft.com/office/drawing/2014/main" id="{62BD2E60-1971-4CF5-9CD5-F4A960D74178}"/>
            </a:ext>
          </a:extLst>
        </xdr:cNvPr>
        <xdr:cNvSpPr/>
      </xdr:nvSpPr>
      <xdr:spPr bwMode="auto">
        <a:xfrm>
          <a:off x="5562600" y="5872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27</xdr:row>
      <xdr:rowOff>119380</xdr:rowOff>
    </xdr:from>
    <xdr:to>
      <xdr:col>9</xdr:col>
      <xdr:colOff>63500</xdr:colOff>
      <xdr:row>28</xdr:row>
      <xdr:rowOff>0</xdr:rowOff>
    </xdr:to>
    <xdr:sp macro="" textlink="">
      <xdr:nvSpPr>
        <xdr:cNvPr id="137" name="nuNumber: 136" hidden="1">
          <a:extLst>
            <a:ext uri="{FF2B5EF4-FFF2-40B4-BE49-F238E27FC236}">
              <a16:creationId xmlns:a16="http://schemas.microsoft.com/office/drawing/2014/main" id="{166CF83B-979B-4C83-B38F-7048423D6779}"/>
            </a:ext>
          </a:extLst>
        </xdr:cNvPr>
        <xdr:cNvSpPr/>
      </xdr:nvSpPr>
      <xdr:spPr bwMode="auto">
        <a:xfrm>
          <a:off x="6467475" y="5872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27</xdr:row>
      <xdr:rowOff>119380</xdr:rowOff>
    </xdr:from>
    <xdr:to>
      <xdr:col>10</xdr:col>
      <xdr:colOff>63500</xdr:colOff>
      <xdr:row>28</xdr:row>
      <xdr:rowOff>0</xdr:rowOff>
    </xdr:to>
    <xdr:sp macro="" textlink="">
      <xdr:nvSpPr>
        <xdr:cNvPr id="138" name="nuNumber: 137" hidden="1">
          <a:extLst>
            <a:ext uri="{FF2B5EF4-FFF2-40B4-BE49-F238E27FC236}">
              <a16:creationId xmlns:a16="http://schemas.microsoft.com/office/drawing/2014/main" id="{7133A6ED-53B6-476C-AACB-1A87FA4DF909}"/>
            </a:ext>
          </a:extLst>
        </xdr:cNvPr>
        <xdr:cNvSpPr/>
      </xdr:nvSpPr>
      <xdr:spPr bwMode="auto">
        <a:xfrm>
          <a:off x="7315200" y="5872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27</xdr:row>
      <xdr:rowOff>119380</xdr:rowOff>
    </xdr:from>
    <xdr:to>
      <xdr:col>11</xdr:col>
      <xdr:colOff>63500</xdr:colOff>
      <xdr:row>28</xdr:row>
      <xdr:rowOff>0</xdr:rowOff>
    </xdr:to>
    <xdr:sp macro="" textlink="">
      <xdr:nvSpPr>
        <xdr:cNvPr id="139" name="nuNumber: 138" hidden="1">
          <a:extLst>
            <a:ext uri="{FF2B5EF4-FFF2-40B4-BE49-F238E27FC236}">
              <a16:creationId xmlns:a16="http://schemas.microsoft.com/office/drawing/2014/main" id="{33B73274-78FD-4472-9BEE-DC21557D1464}"/>
            </a:ext>
          </a:extLst>
        </xdr:cNvPr>
        <xdr:cNvSpPr/>
      </xdr:nvSpPr>
      <xdr:spPr bwMode="auto">
        <a:xfrm>
          <a:off x="8105775" y="5872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27</xdr:row>
      <xdr:rowOff>119380</xdr:rowOff>
    </xdr:from>
    <xdr:to>
      <xdr:col>12</xdr:col>
      <xdr:colOff>63500</xdr:colOff>
      <xdr:row>28</xdr:row>
      <xdr:rowOff>0</xdr:rowOff>
    </xdr:to>
    <xdr:sp macro="" textlink="">
      <xdr:nvSpPr>
        <xdr:cNvPr id="140" name="nuNumber: 139" hidden="1">
          <a:extLst>
            <a:ext uri="{FF2B5EF4-FFF2-40B4-BE49-F238E27FC236}">
              <a16:creationId xmlns:a16="http://schemas.microsoft.com/office/drawing/2014/main" id="{1235A905-9990-47CE-B0CF-88C175B1EE0A}"/>
            </a:ext>
          </a:extLst>
        </xdr:cNvPr>
        <xdr:cNvSpPr/>
      </xdr:nvSpPr>
      <xdr:spPr bwMode="auto">
        <a:xfrm>
          <a:off x="8972550" y="5872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27</xdr:row>
      <xdr:rowOff>119380</xdr:rowOff>
    </xdr:from>
    <xdr:to>
      <xdr:col>13</xdr:col>
      <xdr:colOff>63500</xdr:colOff>
      <xdr:row>28</xdr:row>
      <xdr:rowOff>0</xdr:rowOff>
    </xdr:to>
    <xdr:sp macro="" textlink="">
      <xdr:nvSpPr>
        <xdr:cNvPr id="141" name="nuNumber: 140" hidden="1">
          <a:extLst>
            <a:ext uri="{FF2B5EF4-FFF2-40B4-BE49-F238E27FC236}">
              <a16:creationId xmlns:a16="http://schemas.microsoft.com/office/drawing/2014/main" id="{6CB95735-75D1-47F7-BF58-F322A6E53214}"/>
            </a:ext>
          </a:extLst>
        </xdr:cNvPr>
        <xdr:cNvSpPr/>
      </xdr:nvSpPr>
      <xdr:spPr bwMode="auto">
        <a:xfrm>
          <a:off x="9753600" y="5872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27</xdr:row>
      <xdr:rowOff>119380</xdr:rowOff>
    </xdr:from>
    <xdr:to>
      <xdr:col>14</xdr:col>
      <xdr:colOff>63500</xdr:colOff>
      <xdr:row>28</xdr:row>
      <xdr:rowOff>0</xdr:rowOff>
    </xdr:to>
    <xdr:sp macro="" textlink="">
      <xdr:nvSpPr>
        <xdr:cNvPr id="142" name="nuNumber: 141" hidden="1">
          <a:extLst>
            <a:ext uri="{FF2B5EF4-FFF2-40B4-BE49-F238E27FC236}">
              <a16:creationId xmlns:a16="http://schemas.microsoft.com/office/drawing/2014/main" id="{99351043-2BBF-4E3C-A37A-D45A43496234}"/>
            </a:ext>
          </a:extLst>
        </xdr:cNvPr>
        <xdr:cNvSpPr/>
      </xdr:nvSpPr>
      <xdr:spPr bwMode="auto">
        <a:xfrm>
          <a:off x="10515600" y="5872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27</xdr:row>
      <xdr:rowOff>119380</xdr:rowOff>
    </xdr:from>
    <xdr:to>
      <xdr:col>15</xdr:col>
      <xdr:colOff>63500</xdr:colOff>
      <xdr:row>28</xdr:row>
      <xdr:rowOff>0</xdr:rowOff>
    </xdr:to>
    <xdr:sp macro="" textlink="">
      <xdr:nvSpPr>
        <xdr:cNvPr id="143" name="nuNumber: 142" hidden="1">
          <a:extLst>
            <a:ext uri="{FF2B5EF4-FFF2-40B4-BE49-F238E27FC236}">
              <a16:creationId xmlns:a16="http://schemas.microsoft.com/office/drawing/2014/main" id="{11E84770-2304-428B-9690-C8E9830FD923}"/>
            </a:ext>
          </a:extLst>
        </xdr:cNvPr>
        <xdr:cNvSpPr/>
      </xdr:nvSpPr>
      <xdr:spPr bwMode="auto">
        <a:xfrm>
          <a:off x="11325225" y="5872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27</xdr:row>
      <xdr:rowOff>119380</xdr:rowOff>
    </xdr:from>
    <xdr:to>
      <xdr:col>16</xdr:col>
      <xdr:colOff>63500</xdr:colOff>
      <xdr:row>28</xdr:row>
      <xdr:rowOff>0</xdr:rowOff>
    </xdr:to>
    <xdr:sp macro="" textlink="">
      <xdr:nvSpPr>
        <xdr:cNvPr id="144" name="nuNumber: 143" hidden="1">
          <a:extLst>
            <a:ext uri="{FF2B5EF4-FFF2-40B4-BE49-F238E27FC236}">
              <a16:creationId xmlns:a16="http://schemas.microsoft.com/office/drawing/2014/main" id="{510C30CA-429F-4089-8FC2-0BA04CA4B244}"/>
            </a:ext>
          </a:extLst>
        </xdr:cNvPr>
        <xdr:cNvSpPr/>
      </xdr:nvSpPr>
      <xdr:spPr bwMode="auto">
        <a:xfrm>
          <a:off x="12106275" y="5872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27</xdr:row>
      <xdr:rowOff>119380</xdr:rowOff>
    </xdr:from>
    <xdr:to>
      <xdr:col>17</xdr:col>
      <xdr:colOff>63500</xdr:colOff>
      <xdr:row>28</xdr:row>
      <xdr:rowOff>0</xdr:rowOff>
    </xdr:to>
    <xdr:sp macro="" textlink="">
      <xdr:nvSpPr>
        <xdr:cNvPr id="145" name="nuNumber: 144" hidden="1">
          <a:extLst>
            <a:ext uri="{FF2B5EF4-FFF2-40B4-BE49-F238E27FC236}">
              <a16:creationId xmlns:a16="http://schemas.microsoft.com/office/drawing/2014/main" id="{882E5C6C-DAB7-46DD-A874-3EF5C1FC7E36}"/>
            </a:ext>
          </a:extLst>
        </xdr:cNvPr>
        <xdr:cNvSpPr/>
      </xdr:nvSpPr>
      <xdr:spPr bwMode="auto">
        <a:xfrm>
          <a:off x="12887325" y="5872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27</xdr:row>
      <xdr:rowOff>119380</xdr:rowOff>
    </xdr:from>
    <xdr:to>
      <xdr:col>18</xdr:col>
      <xdr:colOff>63499</xdr:colOff>
      <xdr:row>28</xdr:row>
      <xdr:rowOff>0</xdr:rowOff>
    </xdr:to>
    <xdr:sp macro="" textlink="">
      <xdr:nvSpPr>
        <xdr:cNvPr id="146" name="nuNumber: 145" hidden="1">
          <a:extLst>
            <a:ext uri="{FF2B5EF4-FFF2-40B4-BE49-F238E27FC236}">
              <a16:creationId xmlns:a16="http://schemas.microsoft.com/office/drawing/2014/main" id="{491AD767-C90E-48C7-B592-7A583397491B}"/>
            </a:ext>
          </a:extLst>
        </xdr:cNvPr>
        <xdr:cNvSpPr/>
      </xdr:nvSpPr>
      <xdr:spPr bwMode="auto">
        <a:xfrm>
          <a:off x="13624559" y="587248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27</xdr:row>
      <xdr:rowOff>119380</xdr:rowOff>
    </xdr:from>
    <xdr:to>
      <xdr:col>19</xdr:col>
      <xdr:colOff>63500</xdr:colOff>
      <xdr:row>28</xdr:row>
      <xdr:rowOff>0</xdr:rowOff>
    </xdr:to>
    <xdr:sp macro="" textlink="">
      <xdr:nvSpPr>
        <xdr:cNvPr id="147" name="nuNumber: 146" hidden="1">
          <a:extLst>
            <a:ext uri="{FF2B5EF4-FFF2-40B4-BE49-F238E27FC236}">
              <a16:creationId xmlns:a16="http://schemas.microsoft.com/office/drawing/2014/main" id="{43B11201-C153-451A-A06B-3126D2A4D1B5}"/>
            </a:ext>
          </a:extLst>
        </xdr:cNvPr>
        <xdr:cNvSpPr/>
      </xdr:nvSpPr>
      <xdr:spPr bwMode="auto">
        <a:xfrm>
          <a:off x="14382750" y="5872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27</xdr:row>
      <xdr:rowOff>119380</xdr:rowOff>
    </xdr:from>
    <xdr:to>
      <xdr:col>20</xdr:col>
      <xdr:colOff>63500</xdr:colOff>
      <xdr:row>28</xdr:row>
      <xdr:rowOff>0</xdr:rowOff>
    </xdr:to>
    <xdr:sp macro="" textlink="">
      <xdr:nvSpPr>
        <xdr:cNvPr id="148" name="nuNumber: 147" hidden="1">
          <a:extLst>
            <a:ext uri="{FF2B5EF4-FFF2-40B4-BE49-F238E27FC236}">
              <a16:creationId xmlns:a16="http://schemas.microsoft.com/office/drawing/2014/main" id="{92C97FE5-17E8-462F-A146-2946E9DD0C6B}"/>
            </a:ext>
          </a:extLst>
        </xdr:cNvPr>
        <xdr:cNvSpPr/>
      </xdr:nvSpPr>
      <xdr:spPr bwMode="auto">
        <a:xfrm>
          <a:off x="15135225" y="5872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27</xdr:row>
      <xdr:rowOff>119380</xdr:rowOff>
    </xdr:from>
    <xdr:to>
      <xdr:col>21</xdr:col>
      <xdr:colOff>63500</xdr:colOff>
      <xdr:row>28</xdr:row>
      <xdr:rowOff>0</xdr:rowOff>
    </xdr:to>
    <xdr:sp macro="" textlink="">
      <xdr:nvSpPr>
        <xdr:cNvPr id="149" name="nuNumber: 148" hidden="1">
          <a:extLst>
            <a:ext uri="{FF2B5EF4-FFF2-40B4-BE49-F238E27FC236}">
              <a16:creationId xmlns:a16="http://schemas.microsoft.com/office/drawing/2014/main" id="{540A9A5B-F5A3-4B98-85FC-F569A793045C}"/>
            </a:ext>
          </a:extLst>
        </xdr:cNvPr>
        <xdr:cNvSpPr/>
      </xdr:nvSpPr>
      <xdr:spPr bwMode="auto">
        <a:xfrm>
          <a:off x="15849600" y="5872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28</xdr:row>
      <xdr:rowOff>119380</xdr:rowOff>
    </xdr:from>
    <xdr:to>
      <xdr:col>10</xdr:col>
      <xdr:colOff>63500</xdr:colOff>
      <xdr:row>29</xdr:row>
      <xdr:rowOff>0</xdr:rowOff>
    </xdr:to>
    <xdr:sp macro="" textlink="">
      <xdr:nvSpPr>
        <xdr:cNvPr id="150" name="nuNumber: 149" hidden="1">
          <a:extLst>
            <a:ext uri="{FF2B5EF4-FFF2-40B4-BE49-F238E27FC236}">
              <a16:creationId xmlns:a16="http://schemas.microsoft.com/office/drawing/2014/main" id="{6A94F7EE-9AF7-4D80-98AC-532EFDBECCC2}"/>
            </a:ext>
          </a:extLst>
        </xdr:cNvPr>
        <xdr:cNvSpPr/>
      </xdr:nvSpPr>
      <xdr:spPr bwMode="auto">
        <a:xfrm>
          <a:off x="7315200" y="60820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28</xdr:row>
      <xdr:rowOff>119380</xdr:rowOff>
    </xdr:from>
    <xdr:to>
      <xdr:col>11</xdr:col>
      <xdr:colOff>63500</xdr:colOff>
      <xdr:row>29</xdr:row>
      <xdr:rowOff>0</xdr:rowOff>
    </xdr:to>
    <xdr:sp macro="" textlink="">
      <xdr:nvSpPr>
        <xdr:cNvPr id="151" name="nuNumber: 150" hidden="1">
          <a:extLst>
            <a:ext uri="{FF2B5EF4-FFF2-40B4-BE49-F238E27FC236}">
              <a16:creationId xmlns:a16="http://schemas.microsoft.com/office/drawing/2014/main" id="{A34F8F80-BFC9-47E8-B152-14731C778283}"/>
            </a:ext>
          </a:extLst>
        </xdr:cNvPr>
        <xdr:cNvSpPr/>
      </xdr:nvSpPr>
      <xdr:spPr bwMode="auto">
        <a:xfrm>
          <a:off x="8105775" y="60820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28</xdr:row>
      <xdr:rowOff>119380</xdr:rowOff>
    </xdr:from>
    <xdr:to>
      <xdr:col>12</xdr:col>
      <xdr:colOff>63500</xdr:colOff>
      <xdr:row>29</xdr:row>
      <xdr:rowOff>0</xdr:rowOff>
    </xdr:to>
    <xdr:sp macro="" textlink="">
      <xdr:nvSpPr>
        <xdr:cNvPr id="152" name="nuNumber: 151" hidden="1">
          <a:extLst>
            <a:ext uri="{FF2B5EF4-FFF2-40B4-BE49-F238E27FC236}">
              <a16:creationId xmlns:a16="http://schemas.microsoft.com/office/drawing/2014/main" id="{D5C050D2-A493-4D4B-BA81-822DABB19335}"/>
            </a:ext>
          </a:extLst>
        </xdr:cNvPr>
        <xdr:cNvSpPr/>
      </xdr:nvSpPr>
      <xdr:spPr bwMode="auto">
        <a:xfrm>
          <a:off x="8972550" y="60820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28</xdr:row>
      <xdr:rowOff>119380</xdr:rowOff>
    </xdr:from>
    <xdr:to>
      <xdr:col>13</xdr:col>
      <xdr:colOff>63500</xdr:colOff>
      <xdr:row>29</xdr:row>
      <xdr:rowOff>0</xdr:rowOff>
    </xdr:to>
    <xdr:sp macro="" textlink="">
      <xdr:nvSpPr>
        <xdr:cNvPr id="153" name="nuNumber: 152" hidden="1">
          <a:extLst>
            <a:ext uri="{FF2B5EF4-FFF2-40B4-BE49-F238E27FC236}">
              <a16:creationId xmlns:a16="http://schemas.microsoft.com/office/drawing/2014/main" id="{4546BD1D-FA80-4E7C-A305-AEDEA585800A}"/>
            </a:ext>
          </a:extLst>
        </xdr:cNvPr>
        <xdr:cNvSpPr/>
      </xdr:nvSpPr>
      <xdr:spPr bwMode="auto">
        <a:xfrm>
          <a:off x="9753600" y="60820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28</xdr:row>
      <xdr:rowOff>119380</xdr:rowOff>
    </xdr:from>
    <xdr:to>
      <xdr:col>14</xdr:col>
      <xdr:colOff>63500</xdr:colOff>
      <xdr:row>29</xdr:row>
      <xdr:rowOff>0</xdr:rowOff>
    </xdr:to>
    <xdr:sp macro="" textlink="">
      <xdr:nvSpPr>
        <xdr:cNvPr id="154" name="nuNumber: 153" hidden="1">
          <a:extLst>
            <a:ext uri="{FF2B5EF4-FFF2-40B4-BE49-F238E27FC236}">
              <a16:creationId xmlns:a16="http://schemas.microsoft.com/office/drawing/2014/main" id="{D0BC793E-0E06-4D2A-8BD2-0D70784481F8}"/>
            </a:ext>
          </a:extLst>
        </xdr:cNvPr>
        <xdr:cNvSpPr/>
      </xdr:nvSpPr>
      <xdr:spPr bwMode="auto">
        <a:xfrm>
          <a:off x="10515600" y="60820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28</xdr:row>
      <xdr:rowOff>119380</xdr:rowOff>
    </xdr:from>
    <xdr:to>
      <xdr:col>15</xdr:col>
      <xdr:colOff>63500</xdr:colOff>
      <xdr:row>29</xdr:row>
      <xdr:rowOff>0</xdr:rowOff>
    </xdr:to>
    <xdr:sp macro="" textlink="">
      <xdr:nvSpPr>
        <xdr:cNvPr id="155" name="nuNumber: 154" hidden="1">
          <a:extLst>
            <a:ext uri="{FF2B5EF4-FFF2-40B4-BE49-F238E27FC236}">
              <a16:creationId xmlns:a16="http://schemas.microsoft.com/office/drawing/2014/main" id="{F6AB6AB7-1C2E-4711-8BBD-EC6FDF486E29}"/>
            </a:ext>
          </a:extLst>
        </xdr:cNvPr>
        <xdr:cNvSpPr/>
      </xdr:nvSpPr>
      <xdr:spPr bwMode="auto">
        <a:xfrm>
          <a:off x="11325225" y="60820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28</xdr:row>
      <xdr:rowOff>119380</xdr:rowOff>
    </xdr:from>
    <xdr:to>
      <xdr:col>16</xdr:col>
      <xdr:colOff>63500</xdr:colOff>
      <xdr:row>29</xdr:row>
      <xdr:rowOff>0</xdr:rowOff>
    </xdr:to>
    <xdr:sp macro="" textlink="">
      <xdr:nvSpPr>
        <xdr:cNvPr id="156" name="nuNumber: 155" hidden="1">
          <a:extLst>
            <a:ext uri="{FF2B5EF4-FFF2-40B4-BE49-F238E27FC236}">
              <a16:creationId xmlns:a16="http://schemas.microsoft.com/office/drawing/2014/main" id="{0EC80247-7B18-48A1-B3D5-B0605DDA399C}"/>
            </a:ext>
          </a:extLst>
        </xdr:cNvPr>
        <xdr:cNvSpPr/>
      </xdr:nvSpPr>
      <xdr:spPr bwMode="auto">
        <a:xfrm>
          <a:off x="12106275" y="60820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28</xdr:row>
      <xdr:rowOff>119380</xdr:rowOff>
    </xdr:from>
    <xdr:to>
      <xdr:col>17</xdr:col>
      <xdr:colOff>63500</xdr:colOff>
      <xdr:row>29</xdr:row>
      <xdr:rowOff>0</xdr:rowOff>
    </xdr:to>
    <xdr:sp macro="" textlink="">
      <xdr:nvSpPr>
        <xdr:cNvPr id="157" name="nuNumber: 156" hidden="1">
          <a:extLst>
            <a:ext uri="{FF2B5EF4-FFF2-40B4-BE49-F238E27FC236}">
              <a16:creationId xmlns:a16="http://schemas.microsoft.com/office/drawing/2014/main" id="{A14E47DA-A1A4-4710-8125-CCE835D55121}"/>
            </a:ext>
          </a:extLst>
        </xdr:cNvPr>
        <xdr:cNvSpPr/>
      </xdr:nvSpPr>
      <xdr:spPr bwMode="auto">
        <a:xfrm>
          <a:off x="12887325" y="60820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28</xdr:row>
      <xdr:rowOff>119380</xdr:rowOff>
    </xdr:from>
    <xdr:to>
      <xdr:col>18</xdr:col>
      <xdr:colOff>63499</xdr:colOff>
      <xdr:row>29</xdr:row>
      <xdr:rowOff>0</xdr:rowOff>
    </xdr:to>
    <xdr:sp macro="" textlink="">
      <xdr:nvSpPr>
        <xdr:cNvPr id="158" name="nuNumber: 157" hidden="1">
          <a:extLst>
            <a:ext uri="{FF2B5EF4-FFF2-40B4-BE49-F238E27FC236}">
              <a16:creationId xmlns:a16="http://schemas.microsoft.com/office/drawing/2014/main" id="{336EBF18-30C7-46E8-B72D-559124A49392}"/>
            </a:ext>
          </a:extLst>
        </xdr:cNvPr>
        <xdr:cNvSpPr/>
      </xdr:nvSpPr>
      <xdr:spPr bwMode="auto">
        <a:xfrm>
          <a:off x="13624559" y="608203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28</xdr:row>
      <xdr:rowOff>119380</xdr:rowOff>
    </xdr:from>
    <xdr:to>
      <xdr:col>19</xdr:col>
      <xdr:colOff>63500</xdr:colOff>
      <xdr:row>29</xdr:row>
      <xdr:rowOff>0</xdr:rowOff>
    </xdr:to>
    <xdr:sp macro="" textlink="">
      <xdr:nvSpPr>
        <xdr:cNvPr id="159" name="nuNumber: 158" hidden="1">
          <a:extLst>
            <a:ext uri="{FF2B5EF4-FFF2-40B4-BE49-F238E27FC236}">
              <a16:creationId xmlns:a16="http://schemas.microsoft.com/office/drawing/2014/main" id="{5D212FD7-B509-41CE-A80B-8439C27F9A24}"/>
            </a:ext>
          </a:extLst>
        </xdr:cNvPr>
        <xdr:cNvSpPr/>
      </xdr:nvSpPr>
      <xdr:spPr bwMode="auto">
        <a:xfrm>
          <a:off x="14382750" y="60820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28</xdr:row>
      <xdr:rowOff>119380</xdr:rowOff>
    </xdr:from>
    <xdr:to>
      <xdr:col>20</xdr:col>
      <xdr:colOff>63500</xdr:colOff>
      <xdr:row>29</xdr:row>
      <xdr:rowOff>0</xdr:rowOff>
    </xdr:to>
    <xdr:sp macro="" textlink="">
      <xdr:nvSpPr>
        <xdr:cNvPr id="160" name="nuNumber: 159" hidden="1">
          <a:extLst>
            <a:ext uri="{FF2B5EF4-FFF2-40B4-BE49-F238E27FC236}">
              <a16:creationId xmlns:a16="http://schemas.microsoft.com/office/drawing/2014/main" id="{0C23FFB2-8D5A-4FEC-A066-FC5F235D4690}"/>
            </a:ext>
          </a:extLst>
        </xdr:cNvPr>
        <xdr:cNvSpPr/>
      </xdr:nvSpPr>
      <xdr:spPr bwMode="auto">
        <a:xfrm>
          <a:off x="15135225" y="60820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28</xdr:row>
      <xdr:rowOff>119380</xdr:rowOff>
    </xdr:from>
    <xdr:to>
      <xdr:col>21</xdr:col>
      <xdr:colOff>63500</xdr:colOff>
      <xdr:row>29</xdr:row>
      <xdr:rowOff>0</xdr:rowOff>
    </xdr:to>
    <xdr:sp macro="" textlink="">
      <xdr:nvSpPr>
        <xdr:cNvPr id="161" name="nuNumber: 160" hidden="1">
          <a:extLst>
            <a:ext uri="{FF2B5EF4-FFF2-40B4-BE49-F238E27FC236}">
              <a16:creationId xmlns:a16="http://schemas.microsoft.com/office/drawing/2014/main" id="{B32E870C-9676-4FF2-993C-DF0760BAB50B}"/>
            </a:ext>
          </a:extLst>
        </xdr:cNvPr>
        <xdr:cNvSpPr/>
      </xdr:nvSpPr>
      <xdr:spPr bwMode="auto">
        <a:xfrm>
          <a:off x="15849600" y="60820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30</xdr:row>
      <xdr:rowOff>142240</xdr:rowOff>
    </xdr:from>
    <xdr:to>
      <xdr:col>10</xdr:col>
      <xdr:colOff>63500</xdr:colOff>
      <xdr:row>31</xdr:row>
      <xdr:rowOff>0</xdr:rowOff>
    </xdr:to>
    <xdr:sp macro="" textlink="">
      <xdr:nvSpPr>
        <xdr:cNvPr id="162" name="nuNumber: 161" hidden="1">
          <a:extLst>
            <a:ext uri="{FF2B5EF4-FFF2-40B4-BE49-F238E27FC236}">
              <a16:creationId xmlns:a16="http://schemas.microsoft.com/office/drawing/2014/main" id="{2681789F-C06F-4D6C-AB8B-B6D73885B0CB}"/>
            </a:ext>
          </a:extLst>
        </xdr:cNvPr>
        <xdr:cNvSpPr/>
      </xdr:nvSpPr>
      <xdr:spPr bwMode="auto">
        <a:xfrm>
          <a:off x="7315200" y="65239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30</xdr:row>
      <xdr:rowOff>142240</xdr:rowOff>
    </xdr:from>
    <xdr:to>
      <xdr:col>12</xdr:col>
      <xdr:colOff>63500</xdr:colOff>
      <xdr:row>31</xdr:row>
      <xdr:rowOff>0</xdr:rowOff>
    </xdr:to>
    <xdr:sp macro="" textlink="">
      <xdr:nvSpPr>
        <xdr:cNvPr id="163" name="nuNumber: 162" hidden="1">
          <a:extLst>
            <a:ext uri="{FF2B5EF4-FFF2-40B4-BE49-F238E27FC236}">
              <a16:creationId xmlns:a16="http://schemas.microsoft.com/office/drawing/2014/main" id="{40A08E2E-0ACF-4870-ADF2-100424BE65C7}"/>
            </a:ext>
          </a:extLst>
        </xdr:cNvPr>
        <xdr:cNvSpPr/>
      </xdr:nvSpPr>
      <xdr:spPr bwMode="auto">
        <a:xfrm>
          <a:off x="8972550" y="65239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30</xdr:row>
      <xdr:rowOff>142240</xdr:rowOff>
    </xdr:from>
    <xdr:to>
      <xdr:col>13</xdr:col>
      <xdr:colOff>63500</xdr:colOff>
      <xdr:row>31</xdr:row>
      <xdr:rowOff>0</xdr:rowOff>
    </xdr:to>
    <xdr:sp macro="" textlink="">
      <xdr:nvSpPr>
        <xdr:cNvPr id="164" name="nuNumber: 163" hidden="1">
          <a:extLst>
            <a:ext uri="{FF2B5EF4-FFF2-40B4-BE49-F238E27FC236}">
              <a16:creationId xmlns:a16="http://schemas.microsoft.com/office/drawing/2014/main" id="{EECEE7C7-E355-4DC8-B0E6-3DD3CE307897}"/>
            </a:ext>
          </a:extLst>
        </xdr:cNvPr>
        <xdr:cNvSpPr/>
      </xdr:nvSpPr>
      <xdr:spPr bwMode="auto">
        <a:xfrm>
          <a:off x="9753600" y="65239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30</xdr:row>
      <xdr:rowOff>142240</xdr:rowOff>
    </xdr:from>
    <xdr:to>
      <xdr:col>14</xdr:col>
      <xdr:colOff>63500</xdr:colOff>
      <xdr:row>31</xdr:row>
      <xdr:rowOff>0</xdr:rowOff>
    </xdr:to>
    <xdr:sp macro="" textlink="">
      <xdr:nvSpPr>
        <xdr:cNvPr id="165" name="nuNumber: 164" hidden="1">
          <a:extLst>
            <a:ext uri="{FF2B5EF4-FFF2-40B4-BE49-F238E27FC236}">
              <a16:creationId xmlns:a16="http://schemas.microsoft.com/office/drawing/2014/main" id="{416AC8B4-4201-4476-B48C-41F0C728F98A}"/>
            </a:ext>
          </a:extLst>
        </xdr:cNvPr>
        <xdr:cNvSpPr/>
      </xdr:nvSpPr>
      <xdr:spPr bwMode="auto">
        <a:xfrm>
          <a:off x="10515600" y="65239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30</xdr:row>
      <xdr:rowOff>142240</xdr:rowOff>
    </xdr:from>
    <xdr:to>
      <xdr:col>15</xdr:col>
      <xdr:colOff>63500</xdr:colOff>
      <xdr:row>31</xdr:row>
      <xdr:rowOff>0</xdr:rowOff>
    </xdr:to>
    <xdr:sp macro="" textlink="">
      <xdr:nvSpPr>
        <xdr:cNvPr id="166" name="nuNumber: 165" hidden="1">
          <a:extLst>
            <a:ext uri="{FF2B5EF4-FFF2-40B4-BE49-F238E27FC236}">
              <a16:creationId xmlns:a16="http://schemas.microsoft.com/office/drawing/2014/main" id="{1EF354C8-E8DC-4A33-84B1-0FCB6896A1BD}"/>
            </a:ext>
          </a:extLst>
        </xdr:cNvPr>
        <xdr:cNvSpPr/>
      </xdr:nvSpPr>
      <xdr:spPr bwMode="auto">
        <a:xfrm>
          <a:off x="11325225" y="65239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30</xdr:row>
      <xdr:rowOff>142240</xdr:rowOff>
    </xdr:from>
    <xdr:to>
      <xdr:col>16</xdr:col>
      <xdr:colOff>63500</xdr:colOff>
      <xdr:row>31</xdr:row>
      <xdr:rowOff>0</xdr:rowOff>
    </xdr:to>
    <xdr:sp macro="" textlink="">
      <xdr:nvSpPr>
        <xdr:cNvPr id="167" name="nuNumber: 166" hidden="1">
          <a:extLst>
            <a:ext uri="{FF2B5EF4-FFF2-40B4-BE49-F238E27FC236}">
              <a16:creationId xmlns:a16="http://schemas.microsoft.com/office/drawing/2014/main" id="{E4D6138D-4B6A-4D6D-B760-B87FBE571B10}"/>
            </a:ext>
          </a:extLst>
        </xdr:cNvPr>
        <xdr:cNvSpPr/>
      </xdr:nvSpPr>
      <xdr:spPr bwMode="auto">
        <a:xfrm>
          <a:off x="12106275" y="65239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30</xdr:row>
      <xdr:rowOff>142240</xdr:rowOff>
    </xdr:from>
    <xdr:to>
      <xdr:col>17</xdr:col>
      <xdr:colOff>63500</xdr:colOff>
      <xdr:row>31</xdr:row>
      <xdr:rowOff>0</xdr:rowOff>
    </xdr:to>
    <xdr:sp macro="" textlink="">
      <xdr:nvSpPr>
        <xdr:cNvPr id="168" name="nuNumber: 167" hidden="1">
          <a:extLst>
            <a:ext uri="{FF2B5EF4-FFF2-40B4-BE49-F238E27FC236}">
              <a16:creationId xmlns:a16="http://schemas.microsoft.com/office/drawing/2014/main" id="{2E495DAC-3CFD-48AE-BCFC-0BA381329837}"/>
            </a:ext>
          </a:extLst>
        </xdr:cNvPr>
        <xdr:cNvSpPr/>
      </xdr:nvSpPr>
      <xdr:spPr bwMode="auto">
        <a:xfrm>
          <a:off x="12887325" y="65239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30</xdr:row>
      <xdr:rowOff>142240</xdr:rowOff>
    </xdr:from>
    <xdr:to>
      <xdr:col>18</xdr:col>
      <xdr:colOff>63499</xdr:colOff>
      <xdr:row>31</xdr:row>
      <xdr:rowOff>0</xdr:rowOff>
    </xdr:to>
    <xdr:sp macro="" textlink="">
      <xdr:nvSpPr>
        <xdr:cNvPr id="169" name="nuNumber: 168" hidden="1">
          <a:extLst>
            <a:ext uri="{FF2B5EF4-FFF2-40B4-BE49-F238E27FC236}">
              <a16:creationId xmlns:a16="http://schemas.microsoft.com/office/drawing/2014/main" id="{E9812B48-9662-47A7-BCD4-FCEFC8DA31A9}"/>
            </a:ext>
          </a:extLst>
        </xdr:cNvPr>
        <xdr:cNvSpPr/>
      </xdr:nvSpPr>
      <xdr:spPr bwMode="auto">
        <a:xfrm>
          <a:off x="13624559" y="6523990"/>
          <a:ext cx="5969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30</xdr:row>
      <xdr:rowOff>142240</xdr:rowOff>
    </xdr:from>
    <xdr:to>
      <xdr:col>19</xdr:col>
      <xdr:colOff>63500</xdr:colOff>
      <xdr:row>31</xdr:row>
      <xdr:rowOff>0</xdr:rowOff>
    </xdr:to>
    <xdr:sp macro="" textlink="">
      <xdr:nvSpPr>
        <xdr:cNvPr id="170" name="nuNumber: 169" hidden="1">
          <a:extLst>
            <a:ext uri="{FF2B5EF4-FFF2-40B4-BE49-F238E27FC236}">
              <a16:creationId xmlns:a16="http://schemas.microsoft.com/office/drawing/2014/main" id="{7511E8F1-8C9B-44C4-809F-0B05D5EE1C1C}"/>
            </a:ext>
          </a:extLst>
        </xdr:cNvPr>
        <xdr:cNvSpPr/>
      </xdr:nvSpPr>
      <xdr:spPr bwMode="auto">
        <a:xfrm>
          <a:off x="14382750" y="65239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30</xdr:row>
      <xdr:rowOff>142240</xdr:rowOff>
    </xdr:from>
    <xdr:to>
      <xdr:col>20</xdr:col>
      <xdr:colOff>63500</xdr:colOff>
      <xdr:row>31</xdr:row>
      <xdr:rowOff>0</xdr:rowOff>
    </xdr:to>
    <xdr:sp macro="" textlink="">
      <xdr:nvSpPr>
        <xdr:cNvPr id="171" name="nuNumber: 170" hidden="1">
          <a:extLst>
            <a:ext uri="{FF2B5EF4-FFF2-40B4-BE49-F238E27FC236}">
              <a16:creationId xmlns:a16="http://schemas.microsoft.com/office/drawing/2014/main" id="{B4B6BCFB-2D4A-472D-BFFF-2236D354A01A}"/>
            </a:ext>
          </a:extLst>
        </xdr:cNvPr>
        <xdr:cNvSpPr/>
      </xdr:nvSpPr>
      <xdr:spPr bwMode="auto">
        <a:xfrm>
          <a:off x="15135225" y="65239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31</xdr:row>
      <xdr:rowOff>142240</xdr:rowOff>
    </xdr:from>
    <xdr:to>
      <xdr:col>10</xdr:col>
      <xdr:colOff>63500</xdr:colOff>
      <xdr:row>32</xdr:row>
      <xdr:rowOff>0</xdr:rowOff>
    </xdr:to>
    <xdr:sp macro="" textlink="">
      <xdr:nvSpPr>
        <xdr:cNvPr id="172" name="nuNumber: 171" hidden="1">
          <a:extLst>
            <a:ext uri="{FF2B5EF4-FFF2-40B4-BE49-F238E27FC236}">
              <a16:creationId xmlns:a16="http://schemas.microsoft.com/office/drawing/2014/main" id="{3221B3C5-0B67-47BC-B740-2AB18FE0085C}"/>
            </a:ext>
          </a:extLst>
        </xdr:cNvPr>
        <xdr:cNvSpPr/>
      </xdr:nvSpPr>
      <xdr:spPr bwMode="auto">
        <a:xfrm>
          <a:off x="7315200" y="67335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31</xdr:row>
      <xdr:rowOff>142240</xdr:rowOff>
    </xdr:from>
    <xdr:to>
      <xdr:col>11</xdr:col>
      <xdr:colOff>63500</xdr:colOff>
      <xdr:row>32</xdr:row>
      <xdr:rowOff>0</xdr:rowOff>
    </xdr:to>
    <xdr:sp macro="" textlink="">
      <xdr:nvSpPr>
        <xdr:cNvPr id="173" name="nuNumber: 172" hidden="1">
          <a:extLst>
            <a:ext uri="{FF2B5EF4-FFF2-40B4-BE49-F238E27FC236}">
              <a16:creationId xmlns:a16="http://schemas.microsoft.com/office/drawing/2014/main" id="{47EBC539-63C9-4FE8-84F8-D48C61C6FF7D}"/>
            </a:ext>
          </a:extLst>
        </xdr:cNvPr>
        <xdr:cNvSpPr/>
      </xdr:nvSpPr>
      <xdr:spPr bwMode="auto">
        <a:xfrm>
          <a:off x="8105775" y="67335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31</xdr:row>
      <xdr:rowOff>142240</xdr:rowOff>
    </xdr:from>
    <xdr:to>
      <xdr:col>12</xdr:col>
      <xdr:colOff>63500</xdr:colOff>
      <xdr:row>32</xdr:row>
      <xdr:rowOff>0</xdr:rowOff>
    </xdr:to>
    <xdr:sp macro="" textlink="">
      <xdr:nvSpPr>
        <xdr:cNvPr id="174" name="nuNumber: 173" hidden="1">
          <a:extLst>
            <a:ext uri="{FF2B5EF4-FFF2-40B4-BE49-F238E27FC236}">
              <a16:creationId xmlns:a16="http://schemas.microsoft.com/office/drawing/2014/main" id="{9EF1A9B1-762B-423F-A11E-18833DD420B2}"/>
            </a:ext>
          </a:extLst>
        </xdr:cNvPr>
        <xdr:cNvSpPr/>
      </xdr:nvSpPr>
      <xdr:spPr bwMode="auto">
        <a:xfrm>
          <a:off x="8972550" y="67335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31</xdr:row>
      <xdr:rowOff>142240</xdr:rowOff>
    </xdr:from>
    <xdr:to>
      <xdr:col>13</xdr:col>
      <xdr:colOff>63500</xdr:colOff>
      <xdr:row>32</xdr:row>
      <xdr:rowOff>0</xdr:rowOff>
    </xdr:to>
    <xdr:sp macro="" textlink="">
      <xdr:nvSpPr>
        <xdr:cNvPr id="175" name="nuNumber: 174" hidden="1">
          <a:extLst>
            <a:ext uri="{FF2B5EF4-FFF2-40B4-BE49-F238E27FC236}">
              <a16:creationId xmlns:a16="http://schemas.microsoft.com/office/drawing/2014/main" id="{FA2515A9-2CF9-4186-AF85-955C86656074}"/>
            </a:ext>
          </a:extLst>
        </xdr:cNvPr>
        <xdr:cNvSpPr/>
      </xdr:nvSpPr>
      <xdr:spPr bwMode="auto">
        <a:xfrm>
          <a:off x="9753600" y="67335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31</xdr:row>
      <xdr:rowOff>142240</xdr:rowOff>
    </xdr:from>
    <xdr:to>
      <xdr:col>14</xdr:col>
      <xdr:colOff>63500</xdr:colOff>
      <xdr:row>32</xdr:row>
      <xdr:rowOff>0</xdr:rowOff>
    </xdr:to>
    <xdr:sp macro="" textlink="">
      <xdr:nvSpPr>
        <xdr:cNvPr id="176" name="nuNumber: 175" hidden="1">
          <a:extLst>
            <a:ext uri="{FF2B5EF4-FFF2-40B4-BE49-F238E27FC236}">
              <a16:creationId xmlns:a16="http://schemas.microsoft.com/office/drawing/2014/main" id="{40AF22D9-6B5A-4EFD-9CB7-A68A6D10DB98}"/>
            </a:ext>
          </a:extLst>
        </xdr:cNvPr>
        <xdr:cNvSpPr/>
      </xdr:nvSpPr>
      <xdr:spPr bwMode="auto">
        <a:xfrm>
          <a:off x="10515600" y="67335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31</xdr:row>
      <xdr:rowOff>142240</xdr:rowOff>
    </xdr:from>
    <xdr:to>
      <xdr:col>15</xdr:col>
      <xdr:colOff>63500</xdr:colOff>
      <xdr:row>32</xdr:row>
      <xdr:rowOff>0</xdr:rowOff>
    </xdr:to>
    <xdr:sp macro="" textlink="">
      <xdr:nvSpPr>
        <xdr:cNvPr id="177" name="nuNumber: 176" hidden="1">
          <a:extLst>
            <a:ext uri="{FF2B5EF4-FFF2-40B4-BE49-F238E27FC236}">
              <a16:creationId xmlns:a16="http://schemas.microsoft.com/office/drawing/2014/main" id="{1C9E2D84-9EA9-4CB2-A57F-9DE69ADBA4DA}"/>
            </a:ext>
          </a:extLst>
        </xdr:cNvPr>
        <xdr:cNvSpPr/>
      </xdr:nvSpPr>
      <xdr:spPr bwMode="auto">
        <a:xfrm>
          <a:off x="11325225" y="67335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31</xdr:row>
      <xdr:rowOff>142240</xdr:rowOff>
    </xdr:from>
    <xdr:to>
      <xdr:col>16</xdr:col>
      <xdr:colOff>63500</xdr:colOff>
      <xdr:row>32</xdr:row>
      <xdr:rowOff>0</xdr:rowOff>
    </xdr:to>
    <xdr:sp macro="" textlink="">
      <xdr:nvSpPr>
        <xdr:cNvPr id="178" name="nuNumber: 177" hidden="1">
          <a:extLst>
            <a:ext uri="{FF2B5EF4-FFF2-40B4-BE49-F238E27FC236}">
              <a16:creationId xmlns:a16="http://schemas.microsoft.com/office/drawing/2014/main" id="{279FAE44-1EAE-4913-BB85-089629C287EC}"/>
            </a:ext>
          </a:extLst>
        </xdr:cNvPr>
        <xdr:cNvSpPr/>
      </xdr:nvSpPr>
      <xdr:spPr bwMode="auto">
        <a:xfrm>
          <a:off x="12106275" y="67335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31</xdr:row>
      <xdr:rowOff>142240</xdr:rowOff>
    </xdr:from>
    <xdr:to>
      <xdr:col>17</xdr:col>
      <xdr:colOff>63500</xdr:colOff>
      <xdr:row>32</xdr:row>
      <xdr:rowOff>0</xdr:rowOff>
    </xdr:to>
    <xdr:sp macro="" textlink="">
      <xdr:nvSpPr>
        <xdr:cNvPr id="179" name="nuNumber: 178" hidden="1">
          <a:extLst>
            <a:ext uri="{FF2B5EF4-FFF2-40B4-BE49-F238E27FC236}">
              <a16:creationId xmlns:a16="http://schemas.microsoft.com/office/drawing/2014/main" id="{AED86AE7-70B7-4C9A-AA3B-AC23AE14F88C}"/>
            </a:ext>
          </a:extLst>
        </xdr:cNvPr>
        <xdr:cNvSpPr/>
      </xdr:nvSpPr>
      <xdr:spPr bwMode="auto">
        <a:xfrm>
          <a:off x="12887325" y="67335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31</xdr:row>
      <xdr:rowOff>142240</xdr:rowOff>
    </xdr:from>
    <xdr:to>
      <xdr:col>18</xdr:col>
      <xdr:colOff>63499</xdr:colOff>
      <xdr:row>32</xdr:row>
      <xdr:rowOff>0</xdr:rowOff>
    </xdr:to>
    <xdr:sp macro="" textlink="">
      <xdr:nvSpPr>
        <xdr:cNvPr id="180" name="nuNumber: 179" hidden="1">
          <a:extLst>
            <a:ext uri="{FF2B5EF4-FFF2-40B4-BE49-F238E27FC236}">
              <a16:creationId xmlns:a16="http://schemas.microsoft.com/office/drawing/2014/main" id="{AB1FF6BF-125F-428A-B60B-500305E937EE}"/>
            </a:ext>
          </a:extLst>
        </xdr:cNvPr>
        <xdr:cNvSpPr/>
      </xdr:nvSpPr>
      <xdr:spPr bwMode="auto">
        <a:xfrm>
          <a:off x="13624559" y="6733540"/>
          <a:ext cx="5969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31</xdr:row>
      <xdr:rowOff>142240</xdr:rowOff>
    </xdr:from>
    <xdr:to>
      <xdr:col>19</xdr:col>
      <xdr:colOff>63500</xdr:colOff>
      <xdr:row>32</xdr:row>
      <xdr:rowOff>0</xdr:rowOff>
    </xdr:to>
    <xdr:sp macro="" textlink="">
      <xdr:nvSpPr>
        <xdr:cNvPr id="181" name="nuNumber: 180" hidden="1">
          <a:extLst>
            <a:ext uri="{FF2B5EF4-FFF2-40B4-BE49-F238E27FC236}">
              <a16:creationId xmlns:a16="http://schemas.microsoft.com/office/drawing/2014/main" id="{B63A2B19-14A3-4438-8698-4955E65F5468}"/>
            </a:ext>
          </a:extLst>
        </xdr:cNvPr>
        <xdr:cNvSpPr/>
      </xdr:nvSpPr>
      <xdr:spPr bwMode="auto">
        <a:xfrm>
          <a:off x="14382750" y="67335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31</xdr:row>
      <xdr:rowOff>142240</xdr:rowOff>
    </xdr:from>
    <xdr:to>
      <xdr:col>20</xdr:col>
      <xdr:colOff>63500</xdr:colOff>
      <xdr:row>32</xdr:row>
      <xdr:rowOff>0</xdr:rowOff>
    </xdr:to>
    <xdr:sp macro="" textlink="">
      <xdr:nvSpPr>
        <xdr:cNvPr id="182" name="nuNumber: 181" hidden="1">
          <a:extLst>
            <a:ext uri="{FF2B5EF4-FFF2-40B4-BE49-F238E27FC236}">
              <a16:creationId xmlns:a16="http://schemas.microsoft.com/office/drawing/2014/main" id="{9AECFB6C-3EB8-4BBA-94C3-6F9B48477F74}"/>
            </a:ext>
          </a:extLst>
        </xdr:cNvPr>
        <xdr:cNvSpPr/>
      </xdr:nvSpPr>
      <xdr:spPr bwMode="auto">
        <a:xfrm>
          <a:off x="15135225" y="67335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32</xdr:row>
      <xdr:rowOff>142240</xdr:rowOff>
    </xdr:from>
    <xdr:to>
      <xdr:col>8</xdr:col>
      <xdr:colOff>63500</xdr:colOff>
      <xdr:row>33</xdr:row>
      <xdr:rowOff>0</xdr:rowOff>
    </xdr:to>
    <xdr:sp macro="" textlink="">
      <xdr:nvSpPr>
        <xdr:cNvPr id="183" name="nuNumber: 197" hidden="1">
          <a:extLst>
            <a:ext uri="{FF2B5EF4-FFF2-40B4-BE49-F238E27FC236}">
              <a16:creationId xmlns:a16="http://schemas.microsoft.com/office/drawing/2014/main" id="{195B99FA-750D-4356-8846-941D3ADB4AFC}"/>
            </a:ext>
          </a:extLst>
        </xdr:cNvPr>
        <xdr:cNvSpPr/>
      </xdr:nvSpPr>
      <xdr:spPr bwMode="auto">
        <a:xfrm>
          <a:off x="5562600" y="69430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32</xdr:row>
      <xdr:rowOff>142240</xdr:rowOff>
    </xdr:from>
    <xdr:to>
      <xdr:col>9</xdr:col>
      <xdr:colOff>63500</xdr:colOff>
      <xdr:row>33</xdr:row>
      <xdr:rowOff>0</xdr:rowOff>
    </xdr:to>
    <xdr:sp macro="" textlink="">
      <xdr:nvSpPr>
        <xdr:cNvPr id="184" name="nuNumber: 198" hidden="1">
          <a:extLst>
            <a:ext uri="{FF2B5EF4-FFF2-40B4-BE49-F238E27FC236}">
              <a16:creationId xmlns:a16="http://schemas.microsoft.com/office/drawing/2014/main" id="{AF3E9501-C960-4636-AC42-080CB6DE9460}"/>
            </a:ext>
          </a:extLst>
        </xdr:cNvPr>
        <xdr:cNvSpPr/>
      </xdr:nvSpPr>
      <xdr:spPr bwMode="auto">
        <a:xfrm>
          <a:off x="6467475" y="69430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32</xdr:row>
      <xdr:rowOff>142240</xdr:rowOff>
    </xdr:from>
    <xdr:to>
      <xdr:col>9</xdr:col>
      <xdr:colOff>63500</xdr:colOff>
      <xdr:row>33</xdr:row>
      <xdr:rowOff>0</xdr:rowOff>
    </xdr:to>
    <xdr:sp macro="" textlink="">
      <xdr:nvSpPr>
        <xdr:cNvPr id="185" name="nuNumber: 199" hidden="1">
          <a:extLst>
            <a:ext uri="{FF2B5EF4-FFF2-40B4-BE49-F238E27FC236}">
              <a16:creationId xmlns:a16="http://schemas.microsoft.com/office/drawing/2014/main" id="{261E1888-04F4-4EEB-9A61-D5D444BBB439}"/>
            </a:ext>
          </a:extLst>
        </xdr:cNvPr>
        <xdr:cNvSpPr/>
      </xdr:nvSpPr>
      <xdr:spPr bwMode="auto">
        <a:xfrm>
          <a:off x="6467475" y="69430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32</xdr:row>
      <xdr:rowOff>142240</xdr:rowOff>
    </xdr:from>
    <xdr:to>
      <xdr:col>10</xdr:col>
      <xdr:colOff>63500</xdr:colOff>
      <xdr:row>33</xdr:row>
      <xdr:rowOff>0</xdr:rowOff>
    </xdr:to>
    <xdr:sp macro="" textlink="">
      <xdr:nvSpPr>
        <xdr:cNvPr id="186" name="nuNumber: 200" hidden="1">
          <a:extLst>
            <a:ext uri="{FF2B5EF4-FFF2-40B4-BE49-F238E27FC236}">
              <a16:creationId xmlns:a16="http://schemas.microsoft.com/office/drawing/2014/main" id="{4B8BCAC8-51CC-4E1D-8BCA-42D626A0007F}"/>
            </a:ext>
          </a:extLst>
        </xdr:cNvPr>
        <xdr:cNvSpPr/>
      </xdr:nvSpPr>
      <xdr:spPr bwMode="auto">
        <a:xfrm>
          <a:off x="7315200" y="69430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32</xdr:row>
      <xdr:rowOff>142240</xdr:rowOff>
    </xdr:from>
    <xdr:to>
      <xdr:col>11</xdr:col>
      <xdr:colOff>63500</xdr:colOff>
      <xdr:row>33</xdr:row>
      <xdr:rowOff>0</xdr:rowOff>
    </xdr:to>
    <xdr:sp macro="" textlink="">
      <xdr:nvSpPr>
        <xdr:cNvPr id="187" name="nuNumber: 201" hidden="1">
          <a:extLst>
            <a:ext uri="{FF2B5EF4-FFF2-40B4-BE49-F238E27FC236}">
              <a16:creationId xmlns:a16="http://schemas.microsoft.com/office/drawing/2014/main" id="{B9F334C2-A0CD-4F82-A619-1159DB0DAEA8}"/>
            </a:ext>
          </a:extLst>
        </xdr:cNvPr>
        <xdr:cNvSpPr/>
      </xdr:nvSpPr>
      <xdr:spPr bwMode="auto">
        <a:xfrm>
          <a:off x="8105775" y="69430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32</xdr:row>
      <xdr:rowOff>142240</xdr:rowOff>
    </xdr:from>
    <xdr:to>
      <xdr:col>12</xdr:col>
      <xdr:colOff>63500</xdr:colOff>
      <xdr:row>33</xdr:row>
      <xdr:rowOff>0</xdr:rowOff>
    </xdr:to>
    <xdr:sp macro="" textlink="">
      <xdr:nvSpPr>
        <xdr:cNvPr id="188" name="nuNumber: 202" hidden="1">
          <a:extLst>
            <a:ext uri="{FF2B5EF4-FFF2-40B4-BE49-F238E27FC236}">
              <a16:creationId xmlns:a16="http://schemas.microsoft.com/office/drawing/2014/main" id="{AAE39D14-033D-476A-A7C0-397EFB4037BB}"/>
            </a:ext>
          </a:extLst>
        </xdr:cNvPr>
        <xdr:cNvSpPr/>
      </xdr:nvSpPr>
      <xdr:spPr bwMode="auto">
        <a:xfrm>
          <a:off x="8972550" y="69430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32</xdr:row>
      <xdr:rowOff>142240</xdr:rowOff>
    </xdr:from>
    <xdr:to>
      <xdr:col>13</xdr:col>
      <xdr:colOff>63500</xdr:colOff>
      <xdr:row>33</xdr:row>
      <xdr:rowOff>0</xdr:rowOff>
    </xdr:to>
    <xdr:sp macro="" textlink="">
      <xdr:nvSpPr>
        <xdr:cNvPr id="189" name="nuNumber: 203" hidden="1">
          <a:extLst>
            <a:ext uri="{FF2B5EF4-FFF2-40B4-BE49-F238E27FC236}">
              <a16:creationId xmlns:a16="http://schemas.microsoft.com/office/drawing/2014/main" id="{83AFF629-8B4E-4B42-9D29-AFBD0DAFD9BF}"/>
            </a:ext>
          </a:extLst>
        </xdr:cNvPr>
        <xdr:cNvSpPr/>
      </xdr:nvSpPr>
      <xdr:spPr bwMode="auto">
        <a:xfrm>
          <a:off x="9753600" y="69430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32</xdr:row>
      <xdr:rowOff>142240</xdr:rowOff>
    </xdr:from>
    <xdr:to>
      <xdr:col>14</xdr:col>
      <xdr:colOff>63500</xdr:colOff>
      <xdr:row>33</xdr:row>
      <xdr:rowOff>0</xdr:rowOff>
    </xdr:to>
    <xdr:sp macro="" textlink="">
      <xdr:nvSpPr>
        <xdr:cNvPr id="190" name="nuNumber: 204" hidden="1">
          <a:extLst>
            <a:ext uri="{FF2B5EF4-FFF2-40B4-BE49-F238E27FC236}">
              <a16:creationId xmlns:a16="http://schemas.microsoft.com/office/drawing/2014/main" id="{EAE12AFA-9EE7-4864-B076-D727BE2626AE}"/>
            </a:ext>
          </a:extLst>
        </xdr:cNvPr>
        <xdr:cNvSpPr/>
      </xdr:nvSpPr>
      <xdr:spPr bwMode="auto">
        <a:xfrm>
          <a:off x="10515600" y="69430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32</xdr:row>
      <xdr:rowOff>142240</xdr:rowOff>
    </xdr:from>
    <xdr:to>
      <xdr:col>15</xdr:col>
      <xdr:colOff>63500</xdr:colOff>
      <xdr:row>33</xdr:row>
      <xdr:rowOff>0</xdr:rowOff>
    </xdr:to>
    <xdr:sp macro="" textlink="">
      <xdr:nvSpPr>
        <xdr:cNvPr id="191" name="nuNumber: 205" hidden="1">
          <a:extLst>
            <a:ext uri="{FF2B5EF4-FFF2-40B4-BE49-F238E27FC236}">
              <a16:creationId xmlns:a16="http://schemas.microsoft.com/office/drawing/2014/main" id="{DC48817F-4B8D-4905-ADBC-EF45A9073582}"/>
            </a:ext>
          </a:extLst>
        </xdr:cNvPr>
        <xdr:cNvSpPr/>
      </xdr:nvSpPr>
      <xdr:spPr bwMode="auto">
        <a:xfrm>
          <a:off x="11325225" y="69430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32</xdr:row>
      <xdr:rowOff>142240</xdr:rowOff>
    </xdr:from>
    <xdr:to>
      <xdr:col>16</xdr:col>
      <xdr:colOff>63500</xdr:colOff>
      <xdr:row>33</xdr:row>
      <xdr:rowOff>0</xdr:rowOff>
    </xdr:to>
    <xdr:sp macro="" textlink="">
      <xdr:nvSpPr>
        <xdr:cNvPr id="192" name="nuNumber: 206" hidden="1">
          <a:extLst>
            <a:ext uri="{FF2B5EF4-FFF2-40B4-BE49-F238E27FC236}">
              <a16:creationId xmlns:a16="http://schemas.microsoft.com/office/drawing/2014/main" id="{F1F63D5A-8204-4C2D-8EF5-1EB5C981AF4C}"/>
            </a:ext>
          </a:extLst>
        </xdr:cNvPr>
        <xdr:cNvSpPr/>
      </xdr:nvSpPr>
      <xdr:spPr bwMode="auto">
        <a:xfrm>
          <a:off x="12106275" y="69430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32</xdr:row>
      <xdr:rowOff>142240</xdr:rowOff>
    </xdr:from>
    <xdr:to>
      <xdr:col>17</xdr:col>
      <xdr:colOff>63500</xdr:colOff>
      <xdr:row>33</xdr:row>
      <xdr:rowOff>0</xdr:rowOff>
    </xdr:to>
    <xdr:sp macro="" textlink="">
      <xdr:nvSpPr>
        <xdr:cNvPr id="193" name="nuNumber: 207" hidden="1">
          <a:extLst>
            <a:ext uri="{FF2B5EF4-FFF2-40B4-BE49-F238E27FC236}">
              <a16:creationId xmlns:a16="http://schemas.microsoft.com/office/drawing/2014/main" id="{1A6EF42D-C58A-4CA5-90A6-5AAEA9E3E22B}"/>
            </a:ext>
          </a:extLst>
        </xdr:cNvPr>
        <xdr:cNvSpPr/>
      </xdr:nvSpPr>
      <xdr:spPr bwMode="auto">
        <a:xfrm>
          <a:off x="12887325" y="69430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32</xdr:row>
      <xdr:rowOff>142240</xdr:rowOff>
    </xdr:from>
    <xdr:to>
      <xdr:col>18</xdr:col>
      <xdr:colOff>63499</xdr:colOff>
      <xdr:row>33</xdr:row>
      <xdr:rowOff>0</xdr:rowOff>
    </xdr:to>
    <xdr:sp macro="" textlink="">
      <xdr:nvSpPr>
        <xdr:cNvPr id="194" name="nuNumber: 208" hidden="1">
          <a:extLst>
            <a:ext uri="{FF2B5EF4-FFF2-40B4-BE49-F238E27FC236}">
              <a16:creationId xmlns:a16="http://schemas.microsoft.com/office/drawing/2014/main" id="{976E4BB5-0495-48A4-AB03-3C00625774D1}"/>
            </a:ext>
          </a:extLst>
        </xdr:cNvPr>
        <xdr:cNvSpPr/>
      </xdr:nvSpPr>
      <xdr:spPr bwMode="auto">
        <a:xfrm>
          <a:off x="13624559" y="6943090"/>
          <a:ext cx="5969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32</xdr:row>
      <xdr:rowOff>142240</xdr:rowOff>
    </xdr:from>
    <xdr:to>
      <xdr:col>19</xdr:col>
      <xdr:colOff>63500</xdr:colOff>
      <xdr:row>33</xdr:row>
      <xdr:rowOff>0</xdr:rowOff>
    </xdr:to>
    <xdr:sp macro="" textlink="">
      <xdr:nvSpPr>
        <xdr:cNvPr id="195" name="nuNumber: 209" hidden="1">
          <a:extLst>
            <a:ext uri="{FF2B5EF4-FFF2-40B4-BE49-F238E27FC236}">
              <a16:creationId xmlns:a16="http://schemas.microsoft.com/office/drawing/2014/main" id="{D757C462-EF71-4D5C-B722-09DDCBADC979}"/>
            </a:ext>
          </a:extLst>
        </xdr:cNvPr>
        <xdr:cNvSpPr/>
      </xdr:nvSpPr>
      <xdr:spPr bwMode="auto">
        <a:xfrm>
          <a:off x="14382750" y="69430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32</xdr:row>
      <xdr:rowOff>142240</xdr:rowOff>
    </xdr:from>
    <xdr:to>
      <xdr:col>20</xdr:col>
      <xdr:colOff>63500</xdr:colOff>
      <xdr:row>33</xdr:row>
      <xdr:rowOff>0</xdr:rowOff>
    </xdr:to>
    <xdr:sp macro="" textlink="">
      <xdr:nvSpPr>
        <xdr:cNvPr id="196" name="nuNumber: 210" hidden="1">
          <a:extLst>
            <a:ext uri="{FF2B5EF4-FFF2-40B4-BE49-F238E27FC236}">
              <a16:creationId xmlns:a16="http://schemas.microsoft.com/office/drawing/2014/main" id="{14756135-A8F0-4F3D-A9AB-23705A00DD53}"/>
            </a:ext>
          </a:extLst>
        </xdr:cNvPr>
        <xdr:cNvSpPr/>
      </xdr:nvSpPr>
      <xdr:spPr bwMode="auto">
        <a:xfrm>
          <a:off x="15135225" y="69430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32</xdr:row>
      <xdr:rowOff>142240</xdr:rowOff>
    </xdr:from>
    <xdr:to>
      <xdr:col>21</xdr:col>
      <xdr:colOff>63500</xdr:colOff>
      <xdr:row>33</xdr:row>
      <xdr:rowOff>0</xdr:rowOff>
    </xdr:to>
    <xdr:sp macro="" textlink="">
      <xdr:nvSpPr>
        <xdr:cNvPr id="197" name="nuNumber: 211" hidden="1">
          <a:extLst>
            <a:ext uri="{FF2B5EF4-FFF2-40B4-BE49-F238E27FC236}">
              <a16:creationId xmlns:a16="http://schemas.microsoft.com/office/drawing/2014/main" id="{FB3AA07A-DBDA-46FA-A2A3-1EEA7D0E5085}"/>
            </a:ext>
          </a:extLst>
        </xdr:cNvPr>
        <xdr:cNvSpPr/>
      </xdr:nvSpPr>
      <xdr:spPr bwMode="auto">
        <a:xfrm>
          <a:off x="15849600" y="69430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33</xdr:row>
      <xdr:rowOff>142240</xdr:rowOff>
    </xdr:from>
    <xdr:to>
      <xdr:col>8</xdr:col>
      <xdr:colOff>63500</xdr:colOff>
      <xdr:row>34</xdr:row>
      <xdr:rowOff>0</xdr:rowOff>
    </xdr:to>
    <xdr:sp macro="" textlink="">
      <xdr:nvSpPr>
        <xdr:cNvPr id="198" name="nuNumber: 212" hidden="1">
          <a:extLst>
            <a:ext uri="{FF2B5EF4-FFF2-40B4-BE49-F238E27FC236}">
              <a16:creationId xmlns:a16="http://schemas.microsoft.com/office/drawing/2014/main" id="{41F76FCD-6F2C-40F1-B071-7F3D139685B5}"/>
            </a:ext>
          </a:extLst>
        </xdr:cNvPr>
        <xdr:cNvSpPr/>
      </xdr:nvSpPr>
      <xdr:spPr bwMode="auto">
        <a:xfrm>
          <a:off x="5562600" y="71526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33</xdr:row>
      <xdr:rowOff>142240</xdr:rowOff>
    </xdr:from>
    <xdr:to>
      <xdr:col>9</xdr:col>
      <xdr:colOff>63500</xdr:colOff>
      <xdr:row>34</xdr:row>
      <xdr:rowOff>0</xdr:rowOff>
    </xdr:to>
    <xdr:sp macro="" textlink="">
      <xdr:nvSpPr>
        <xdr:cNvPr id="199" name="nuNumber: 213" hidden="1">
          <a:extLst>
            <a:ext uri="{FF2B5EF4-FFF2-40B4-BE49-F238E27FC236}">
              <a16:creationId xmlns:a16="http://schemas.microsoft.com/office/drawing/2014/main" id="{C6BF3734-70A1-4636-935F-8E3D7A2DF711}"/>
            </a:ext>
          </a:extLst>
        </xdr:cNvPr>
        <xdr:cNvSpPr/>
      </xdr:nvSpPr>
      <xdr:spPr bwMode="auto">
        <a:xfrm>
          <a:off x="6467475" y="71526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33</xdr:row>
      <xdr:rowOff>142240</xdr:rowOff>
    </xdr:from>
    <xdr:to>
      <xdr:col>9</xdr:col>
      <xdr:colOff>63500</xdr:colOff>
      <xdr:row>34</xdr:row>
      <xdr:rowOff>0</xdr:rowOff>
    </xdr:to>
    <xdr:sp macro="" textlink="">
      <xdr:nvSpPr>
        <xdr:cNvPr id="200" name="nuNumber: 214" hidden="1">
          <a:extLst>
            <a:ext uri="{FF2B5EF4-FFF2-40B4-BE49-F238E27FC236}">
              <a16:creationId xmlns:a16="http://schemas.microsoft.com/office/drawing/2014/main" id="{27FDA951-084D-4989-990E-8D8D70BB3CB9}"/>
            </a:ext>
          </a:extLst>
        </xdr:cNvPr>
        <xdr:cNvSpPr/>
      </xdr:nvSpPr>
      <xdr:spPr bwMode="auto">
        <a:xfrm>
          <a:off x="6467475" y="71526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33</xdr:row>
      <xdr:rowOff>142240</xdr:rowOff>
    </xdr:from>
    <xdr:to>
      <xdr:col>10</xdr:col>
      <xdr:colOff>63500</xdr:colOff>
      <xdr:row>34</xdr:row>
      <xdr:rowOff>0</xdr:rowOff>
    </xdr:to>
    <xdr:sp macro="" textlink="">
      <xdr:nvSpPr>
        <xdr:cNvPr id="201" name="nuNumber: 215" hidden="1">
          <a:extLst>
            <a:ext uri="{FF2B5EF4-FFF2-40B4-BE49-F238E27FC236}">
              <a16:creationId xmlns:a16="http://schemas.microsoft.com/office/drawing/2014/main" id="{DA538B04-659F-4293-8E6F-6F6B3F706BA3}"/>
            </a:ext>
          </a:extLst>
        </xdr:cNvPr>
        <xdr:cNvSpPr/>
      </xdr:nvSpPr>
      <xdr:spPr bwMode="auto">
        <a:xfrm>
          <a:off x="7315200" y="71526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33</xdr:row>
      <xdr:rowOff>142240</xdr:rowOff>
    </xdr:from>
    <xdr:to>
      <xdr:col>11</xdr:col>
      <xdr:colOff>63500</xdr:colOff>
      <xdr:row>34</xdr:row>
      <xdr:rowOff>0</xdr:rowOff>
    </xdr:to>
    <xdr:sp macro="" textlink="">
      <xdr:nvSpPr>
        <xdr:cNvPr id="202" name="nuNumber: 216" hidden="1">
          <a:extLst>
            <a:ext uri="{FF2B5EF4-FFF2-40B4-BE49-F238E27FC236}">
              <a16:creationId xmlns:a16="http://schemas.microsoft.com/office/drawing/2014/main" id="{18C54944-389E-4884-A4FD-6F3AAB945EFB}"/>
            </a:ext>
          </a:extLst>
        </xdr:cNvPr>
        <xdr:cNvSpPr/>
      </xdr:nvSpPr>
      <xdr:spPr bwMode="auto">
        <a:xfrm>
          <a:off x="8105775" y="71526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33</xdr:row>
      <xdr:rowOff>142240</xdr:rowOff>
    </xdr:from>
    <xdr:to>
      <xdr:col>12</xdr:col>
      <xdr:colOff>63500</xdr:colOff>
      <xdr:row>34</xdr:row>
      <xdr:rowOff>0</xdr:rowOff>
    </xdr:to>
    <xdr:sp macro="" textlink="">
      <xdr:nvSpPr>
        <xdr:cNvPr id="203" name="nuNumber: 217" hidden="1">
          <a:extLst>
            <a:ext uri="{FF2B5EF4-FFF2-40B4-BE49-F238E27FC236}">
              <a16:creationId xmlns:a16="http://schemas.microsoft.com/office/drawing/2014/main" id="{877812F5-C747-4BC5-BD06-6FDFD6C90006}"/>
            </a:ext>
          </a:extLst>
        </xdr:cNvPr>
        <xdr:cNvSpPr/>
      </xdr:nvSpPr>
      <xdr:spPr bwMode="auto">
        <a:xfrm>
          <a:off x="8972550" y="71526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33</xdr:row>
      <xdr:rowOff>142240</xdr:rowOff>
    </xdr:from>
    <xdr:to>
      <xdr:col>13</xdr:col>
      <xdr:colOff>63500</xdr:colOff>
      <xdr:row>34</xdr:row>
      <xdr:rowOff>0</xdr:rowOff>
    </xdr:to>
    <xdr:sp macro="" textlink="">
      <xdr:nvSpPr>
        <xdr:cNvPr id="204" name="nuNumber: 218" hidden="1">
          <a:extLst>
            <a:ext uri="{FF2B5EF4-FFF2-40B4-BE49-F238E27FC236}">
              <a16:creationId xmlns:a16="http://schemas.microsoft.com/office/drawing/2014/main" id="{80EFA770-0FAF-4544-B07C-8F341A6C8FE6}"/>
            </a:ext>
          </a:extLst>
        </xdr:cNvPr>
        <xdr:cNvSpPr/>
      </xdr:nvSpPr>
      <xdr:spPr bwMode="auto">
        <a:xfrm>
          <a:off x="9753600" y="71526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33</xdr:row>
      <xdr:rowOff>142240</xdr:rowOff>
    </xdr:from>
    <xdr:to>
      <xdr:col>14</xdr:col>
      <xdr:colOff>63500</xdr:colOff>
      <xdr:row>34</xdr:row>
      <xdr:rowOff>0</xdr:rowOff>
    </xdr:to>
    <xdr:sp macro="" textlink="">
      <xdr:nvSpPr>
        <xdr:cNvPr id="205" name="nuNumber: 219" hidden="1">
          <a:extLst>
            <a:ext uri="{FF2B5EF4-FFF2-40B4-BE49-F238E27FC236}">
              <a16:creationId xmlns:a16="http://schemas.microsoft.com/office/drawing/2014/main" id="{3AFEDFBF-6F37-41E0-BCE0-0AA491AFBF34}"/>
            </a:ext>
          </a:extLst>
        </xdr:cNvPr>
        <xdr:cNvSpPr/>
      </xdr:nvSpPr>
      <xdr:spPr bwMode="auto">
        <a:xfrm>
          <a:off x="10515600" y="71526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33</xdr:row>
      <xdr:rowOff>142240</xdr:rowOff>
    </xdr:from>
    <xdr:to>
      <xdr:col>15</xdr:col>
      <xdr:colOff>63500</xdr:colOff>
      <xdr:row>34</xdr:row>
      <xdr:rowOff>0</xdr:rowOff>
    </xdr:to>
    <xdr:sp macro="" textlink="">
      <xdr:nvSpPr>
        <xdr:cNvPr id="206" name="nuNumber: 220" hidden="1">
          <a:extLst>
            <a:ext uri="{FF2B5EF4-FFF2-40B4-BE49-F238E27FC236}">
              <a16:creationId xmlns:a16="http://schemas.microsoft.com/office/drawing/2014/main" id="{A879DCC5-E6AE-4707-90DA-465D0548D1E1}"/>
            </a:ext>
          </a:extLst>
        </xdr:cNvPr>
        <xdr:cNvSpPr/>
      </xdr:nvSpPr>
      <xdr:spPr bwMode="auto">
        <a:xfrm>
          <a:off x="11325225" y="71526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33</xdr:row>
      <xdr:rowOff>142240</xdr:rowOff>
    </xdr:from>
    <xdr:to>
      <xdr:col>16</xdr:col>
      <xdr:colOff>63500</xdr:colOff>
      <xdr:row>34</xdr:row>
      <xdr:rowOff>0</xdr:rowOff>
    </xdr:to>
    <xdr:sp macro="" textlink="">
      <xdr:nvSpPr>
        <xdr:cNvPr id="207" name="nuNumber: 221" hidden="1">
          <a:extLst>
            <a:ext uri="{FF2B5EF4-FFF2-40B4-BE49-F238E27FC236}">
              <a16:creationId xmlns:a16="http://schemas.microsoft.com/office/drawing/2014/main" id="{D56DEA94-CAFE-419B-A066-9F9AB36D7FA4}"/>
            </a:ext>
          </a:extLst>
        </xdr:cNvPr>
        <xdr:cNvSpPr/>
      </xdr:nvSpPr>
      <xdr:spPr bwMode="auto">
        <a:xfrm>
          <a:off x="12106275" y="71526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33</xdr:row>
      <xdr:rowOff>142240</xdr:rowOff>
    </xdr:from>
    <xdr:to>
      <xdr:col>17</xdr:col>
      <xdr:colOff>63500</xdr:colOff>
      <xdr:row>34</xdr:row>
      <xdr:rowOff>0</xdr:rowOff>
    </xdr:to>
    <xdr:sp macro="" textlink="">
      <xdr:nvSpPr>
        <xdr:cNvPr id="208" name="nuNumber: 222" hidden="1">
          <a:extLst>
            <a:ext uri="{FF2B5EF4-FFF2-40B4-BE49-F238E27FC236}">
              <a16:creationId xmlns:a16="http://schemas.microsoft.com/office/drawing/2014/main" id="{9C261969-91BD-41C4-9B2D-7CE387960E7A}"/>
            </a:ext>
          </a:extLst>
        </xdr:cNvPr>
        <xdr:cNvSpPr/>
      </xdr:nvSpPr>
      <xdr:spPr bwMode="auto">
        <a:xfrm>
          <a:off x="12887325" y="71526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33</xdr:row>
      <xdr:rowOff>142240</xdr:rowOff>
    </xdr:from>
    <xdr:to>
      <xdr:col>18</xdr:col>
      <xdr:colOff>63499</xdr:colOff>
      <xdr:row>34</xdr:row>
      <xdr:rowOff>0</xdr:rowOff>
    </xdr:to>
    <xdr:sp macro="" textlink="">
      <xdr:nvSpPr>
        <xdr:cNvPr id="209" name="nuNumber: 223" hidden="1">
          <a:extLst>
            <a:ext uri="{FF2B5EF4-FFF2-40B4-BE49-F238E27FC236}">
              <a16:creationId xmlns:a16="http://schemas.microsoft.com/office/drawing/2014/main" id="{2EB0740F-91E0-4D7A-8A4E-04D7B9C59320}"/>
            </a:ext>
          </a:extLst>
        </xdr:cNvPr>
        <xdr:cNvSpPr/>
      </xdr:nvSpPr>
      <xdr:spPr bwMode="auto">
        <a:xfrm>
          <a:off x="13624559" y="7152640"/>
          <a:ext cx="5969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33</xdr:row>
      <xdr:rowOff>142240</xdr:rowOff>
    </xdr:from>
    <xdr:to>
      <xdr:col>19</xdr:col>
      <xdr:colOff>63500</xdr:colOff>
      <xdr:row>34</xdr:row>
      <xdr:rowOff>0</xdr:rowOff>
    </xdr:to>
    <xdr:sp macro="" textlink="">
      <xdr:nvSpPr>
        <xdr:cNvPr id="210" name="nuNumber: 224" hidden="1">
          <a:extLst>
            <a:ext uri="{FF2B5EF4-FFF2-40B4-BE49-F238E27FC236}">
              <a16:creationId xmlns:a16="http://schemas.microsoft.com/office/drawing/2014/main" id="{D1963958-C91E-4E15-B45D-1A1445E99CAA}"/>
            </a:ext>
          </a:extLst>
        </xdr:cNvPr>
        <xdr:cNvSpPr/>
      </xdr:nvSpPr>
      <xdr:spPr bwMode="auto">
        <a:xfrm>
          <a:off x="14382750" y="71526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33</xdr:row>
      <xdr:rowOff>142240</xdr:rowOff>
    </xdr:from>
    <xdr:to>
      <xdr:col>20</xdr:col>
      <xdr:colOff>63500</xdr:colOff>
      <xdr:row>34</xdr:row>
      <xdr:rowOff>0</xdr:rowOff>
    </xdr:to>
    <xdr:sp macro="" textlink="">
      <xdr:nvSpPr>
        <xdr:cNvPr id="211" name="nuNumber: 225" hidden="1">
          <a:extLst>
            <a:ext uri="{FF2B5EF4-FFF2-40B4-BE49-F238E27FC236}">
              <a16:creationId xmlns:a16="http://schemas.microsoft.com/office/drawing/2014/main" id="{FDB511C8-DB00-4833-8C50-414F4AC4C047}"/>
            </a:ext>
          </a:extLst>
        </xdr:cNvPr>
        <xdr:cNvSpPr/>
      </xdr:nvSpPr>
      <xdr:spPr bwMode="auto">
        <a:xfrm>
          <a:off x="15135225" y="71526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33</xdr:row>
      <xdr:rowOff>142240</xdr:rowOff>
    </xdr:from>
    <xdr:to>
      <xdr:col>21</xdr:col>
      <xdr:colOff>63500</xdr:colOff>
      <xdr:row>34</xdr:row>
      <xdr:rowOff>0</xdr:rowOff>
    </xdr:to>
    <xdr:sp macro="" textlink="">
      <xdr:nvSpPr>
        <xdr:cNvPr id="212" name="nuNumber: 226" hidden="1">
          <a:extLst>
            <a:ext uri="{FF2B5EF4-FFF2-40B4-BE49-F238E27FC236}">
              <a16:creationId xmlns:a16="http://schemas.microsoft.com/office/drawing/2014/main" id="{6FB97268-F278-42E9-8AE7-E9E57FC268C4}"/>
            </a:ext>
          </a:extLst>
        </xdr:cNvPr>
        <xdr:cNvSpPr/>
      </xdr:nvSpPr>
      <xdr:spPr bwMode="auto">
        <a:xfrm>
          <a:off x="15849600" y="71526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34</xdr:row>
      <xdr:rowOff>142240</xdr:rowOff>
    </xdr:from>
    <xdr:to>
      <xdr:col>8</xdr:col>
      <xdr:colOff>63500</xdr:colOff>
      <xdr:row>35</xdr:row>
      <xdr:rowOff>0</xdr:rowOff>
    </xdr:to>
    <xdr:sp macro="" textlink="">
      <xdr:nvSpPr>
        <xdr:cNvPr id="213" name="nuNumber: 227" hidden="1">
          <a:extLst>
            <a:ext uri="{FF2B5EF4-FFF2-40B4-BE49-F238E27FC236}">
              <a16:creationId xmlns:a16="http://schemas.microsoft.com/office/drawing/2014/main" id="{AF7D94FB-AA4B-40D6-AD8D-E854AF83AE29}"/>
            </a:ext>
          </a:extLst>
        </xdr:cNvPr>
        <xdr:cNvSpPr/>
      </xdr:nvSpPr>
      <xdr:spPr bwMode="auto">
        <a:xfrm>
          <a:off x="5562600" y="73621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34</xdr:row>
      <xdr:rowOff>142240</xdr:rowOff>
    </xdr:from>
    <xdr:to>
      <xdr:col>9</xdr:col>
      <xdr:colOff>63500</xdr:colOff>
      <xdr:row>35</xdr:row>
      <xdr:rowOff>0</xdr:rowOff>
    </xdr:to>
    <xdr:sp macro="" textlink="">
      <xdr:nvSpPr>
        <xdr:cNvPr id="214" name="nuNumber: 228" hidden="1">
          <a:extLst>
            <a:ext uri="{FF2B5EF4-FFF2-40B4-BE49-F238E27FC236}">
              <a16:creationId xmlns:a16="http://schemas.microsoft.com/office/drawing/2014/main" id="{6C075732-BDDE-46A4-AA4A-244E9E1D807D}"/>
            </a:ext>
          </a:extLst>
        </xdr:cNvPr>
        <xdr:cNvSpPr/>
      </xdr:nvSpPr>
      <xdr:spPr bwMode="auto">
        <a:xfrm>
          <a:off x="6467475" y="73621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34</xdr:row>
      <xdr:rowOff>142240</xdr:rowOff>
    </xdr:from>
    <xdr:to>
      <xdr:col>10</xdr:col>
      <xdr:colOff>63500</xdr:colOff>
      <xdr:row>35</xdr:row>
      <xdr:rowOff>0</xdr:rowOff>
    </xdr:to>
    <xdr:sp macro="" textlink="">
      <xdr:nvSpPr>
        <xdr:cNvPr id="215" name="nuNumber: 229" hidden="1">
          <a:extLst>
            <a:ext uri="{FF2B5EF4-FFF2-40B4-BE49-F238E27FC236}">
              <a16:creationId xmlns:a16="http://schemas.microsoft.com/office/drawing/2014/main" id="{1C1D7A3B-9B80-43CD-93F8-E4516925351B}"/>
            </a:ext>
          </a:extLst>
        </xdr:cNvPr>
        <xdr:cNvSpPr/>
      </xdr:nvSpPr>
      <xdr:spPr bwMode="auto">
        <a:xfrm>
          <a:off x="7315200" y="73621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34</xdr:row>
      <xdr:rowOff>142240</xdr:rowOff>
    </xdr:from>
    <xdr:to>
      <xdr:col>11</xdr:col>
      <xdr:colOff>63500</xdr:colOff>
      <xdr:row>35</xdr:row>
      <xdr:rowOff>0</xdr:rowOff>
    </xdr:to>
    <xdr:sp macro="" textlink="">
      <xdr:nvSpPr>
        <xdr:cNvPr id="216" name="nuNumber: 230" hidden="1">
          <a:extLst>
            <a:ext uri="{FF2B5EF4-FFF2-40B4-BE49-F238E27FC236}">
              <a16:creationId xmlns:a16="http://schemas.microsoft.com/office/drawing/2014/main" id="{23B86982-C6AB-46AD-9FCF-64F9C68E7336}"/>
            </a:ext>
          </a:extLst>
        </xdr:cNvPr>
        <xdr:cNvSpPr/>
      </xdr:nvSpPr>
      <xdr:spPr bwMode="auto">
        <a:xfrm>
          <a:off x="8105775" y="73621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34</xdr:row>
      <xdr:rowOff>142240</xdr:rowOff>
    </xdr:from>
    <xdr:to>
      <xdr:col>12</xdr:col>
      <xdr:colOff>63500</xdr:colOff>
      <xdr:row>35</xdr:row>
      <xdr:rowOff>0</xdr:rowOff>
    </xdr:to>
    <xdr:sp macro="" textlink="">
      <xdr:nvSpPr>
        <xdr:cNvPr id="217" name="nuNumber: 231" hidden="1">
          <a:extLst>
            <a:ext uri="{FF2B5EF4-FFF2-40B4-BE49-F238E27FC236}">
              <a16:creationId xmlns:a16="http://schemas.microsoft.com/office/drawing/2014/main" id="{59AB7E14-D93F-4DB1-942B-8D174A24DEF2}"/>
            </a:ext>
          </a:extLst>
        </xdr:cNvPr>
        <xdr:cNvSpPr/>
      </xdr:nvSpPr>
      <xdr:spPr bwMode="auto">
        <a:xfrm>
          <a:off x="8972550" y="73621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34</xdr:row>
      <xdr:rowOff>142240</xdr:rowOff>
    </xdr:from>
    <xdr:to>
      <xdr:col>13</xdr:col>
      <xdr:colOff>63500</xdr:colOff>
      <xdr:row>35</xdr:row>
      <xdr:rowOff>0</xdr:rowOff>
    </xdr:to>
    <xdr:sp macro="" textlink="">
      <xdr:nvSpPr>
        <xdr:cNvPr id="218" name="nuNumber: 232" hidden="1">
          <a:extLst>
            <a:ext uri="{FF2B5EF4-FFF2-40B4-BE49-F238E27FC236}">
              <a16:creationId xmlns:a16="http://schemas.microsoft.com/office/drawing/2014/main" id="{88ACE9FA-7581-41EC-8133-2FD0707143BD}"/>
            </a:ext>
          </a:extLst>
        </xdr:cNvPr>
        <xdr:cNvSpPr/>
      </xdr:nvSpPr>
      <xdr:spPr bwMode="auto">
        <a:xfrm>
          <a:off x="9753600" y="73621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34</xdr:row>
      <xdr:rowOff>142240</xdr:rowOff>
    </xdr:from>
    <xdr:to>
      <xdr:col>14</xdr:col>
      <xdr:colOff>63500</xdr:colOff>
      <xdr:row>35</xdr:row>
      <xdr:rowOff>0</xdr:rowOff>
    </xdr:to>
    <xdr:sp macro="" textlink="">
      <xdr:nvSpPr>
        <xdr:cNvPr id="219" name="nuNumber: 233" hidden="1">
          <a:extLst>
            <a:ext uri="{FF2B5EF4-FFF2-40B4-BE49-F238E27FC236}">
              <a16:creationId xmlns:a16="http://schemas.microsoft.com/office/drawing/2014/main" id="{F86678F2-0E52-49DF-B85A-175A66005B8F}"/>
            </a:ext>
          </a:extLst>
        </xdr:cNvPr>
        <xdr:cNvSpPr/>
      </xdr:nvSpPr>
      <xdr:spPr bwMode="auto">
        <a:xfrm>
          <a:off x="10515600" y="73621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34</xdr:row>
      <xdr:rowOff>142240</xdr:rowOff>
    </xdr:from>
    <xdr:to>
      <xdr:col>15</xdr:col>
      <xdr:colOff>63500</xdr:colOff>
      <xdr:row>35</xdr:row>
      <xdr:rowOff>0</xdr:rowOff>
    </xdr:to>
    <xdr:sp macro="" textlink="">
      <xdr:nvSpPr>
        <xdr:cNvPr id="220" name="nuNumber: 234" hidden="1">
          <a:extLst>
            <a:ext uri="{FF2B5EF4-FFF2-40B4-BE49-F238E27FC236}">
              <a16:creationId xmlns:a16="http://schemas.microsoft.com/office/drawing/2014/main" id="{8F7D8D9A-E521-42E4-8509-9FF5B8DBE763}"/>
            </a:ext>
          </a:extLst>
        </xdr:cNvPr>
        <xdr:cNvSpPr/>
      </xdr:nvSpPr>
      <xdr:spPr bwMode="auto">
        <a:xfrm>
          <a:off x="11325225" y="73621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34</xdr:row>
      <xdr:rowOff>142240</xdr:rowOff>
    </xdr:from>
    <xdr:to>
      <xdr:col>16</xdr:col>
      <xdr:colOff>63500</xdr:colOff>
      <xdr:row>35</xdr:row>
      <xdr:rowOff>0</xdr:rowOff>
    </xdr:to>
    <xdr:sp macro="" textlink="">
      <xdr:nvSpPr>
        <xdr:cNvPr id="221" name="nuNumber: 235" hidden="1">
          <a:extLst>
            <a:ext uri="{FF2B5EF4-FFF2-40B4-BE49-F238E27FC236}">
              <a16:creationId xmlns:a16="http://schemas.microsoft.com/office/drawing/2014/main" id="{CAA9E55A-A644-41C0-8EA7-D7784DF32527}"/>
            </a:ext>
          </a:extLst>
        </xdr:cNvPr>
        <xdr:cNvSpPr/>
      </xdr:nvSpPr>
      <xdr:spPr bwMode="auto">
        <a:xfrm>
          <a:off x="12106275" y="73621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34</xdr:row>
      <xdr:rowOff>142240</xdr:rowOff>
    </xdr:from>
    <xdr:to>
      <xdr:col>17</xdr:col>
      <xdr:colOff>63500</xdr:colOff>
      <xdr:row>35</xdr:row>
      <xdr:rowOff>0</xdr:rowOff>
    </xdr:to>
    <xdr:sp macro="" textlink="">
      <xdr:nvSpPr>
        <xdr:cNvPr id="222" name="nuNumber: 236" hidden="1">
          <a:extLst>
            <a:ext uri="{FF2B5EF4-FFF2-40B4-BE49-F238E27FC236}">
              <a16:creationId xmlns:a16="http://schemas.microsoft.com/office/drawing/2014/main" id="{628974C4-937E-486F-9A4C-BB09DE4E33BC}"/>
            </a:ext>
          </a:extLst>
        </xdr:cNvPr>
        <xdr:cNvSpPr/>
      </xdr:nvSpPr>
      <xdr:spPr bwMode="auto">
        <a:xfrm>
          <a:off x="12887325" y="73621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34</xdr:row>
      <xdr:rowOff>142240</xdr:rowOff>
    </xdr:from>
    <xdr:to>
      <xdr:col>18</xdr:col>
      <xdr:colOff>63499</xdr:colOff>
      <xdr:row>35</xdr:row>
      <xdr:rowOff>0</xdr:rowOff>
    </xdr:to>
    <xdr:sp macro="" textlink="">
      <xdr:nvSpPr>
        <xdr:cNvPr id="223" name="nuNumber: 237" hidden="1">
          <a:extLst>
            <a:ext uri="{FF2B5EF4-FFF2-40B4-BE49-F238E27FC236}">
              <a16:creationId xmlns:a16="http://schemas.microsoft.com/office/drawing/2014/main" id="{649A0716-CD6A-4F1A-B135-097DBB869C60}"/>
            </a:ext>
          </a:extLst>
        </xdr:cNvPr>
        <xdr:cNvSpPr/>
      </xdr:nvSpPr>
      <xdr:spPr bwMode="auto">
        <a:xfrm>
          <a:off x="13624559" y="7362190"/>
          <a:ext cx="5969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34</xdr:row>
      <xdr:rowOff>142240</xdr:rowOff>
    </xdr:from>
    <xdr:to>
      <xdr:col>19</xdr:col>
      <xdr:colOff>63500</xdr:colOff>
      <xdr:row>35</xdr:row>
      <xdr:rowOff>0</xdr:rowOff>
    </xdr:to>
    <xdr:sp macro="" textlink="">
      <xdr:nvSpPr>
        <xdr:cNvPr id="224" name="nuNumber: 238" hidden="1">
          <a:extLst>
            <a:ext uri="{FF2B5EF4-FFF2-40B4-BE49-F238E27FC236}">
              <a16:creationId xmlns:a16="http://schemas.microsoft.com/office/drawing/2014/main" id="{BBAD3B6D-B79A-4779-97F3-9C1041B42A42}"/>
            </a:ext>
          </a:extLst>
        </xdr:cNvPr>
        <xdr:cNvSpPr/>
      </xdr:nvSpPr>
      <xdr:spPr bwMode="auto">
        <a:xfrm>
          <a:off x="14382750" y="73621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34</xdr:row>
      <xdr:rowOff>142240</xdr:rowOff>
    </xdr:from>
    <xdr:to>
      <xdr:col>20</xdr:col>
      <xdr:colOff>63500</xdr:colOff>
      <xdr:row>35</xdr:row>
      <xdr:rowOff>0</xdr:rowOff>
    </xdr:to>
    <xdr:sp macro="" textlink="">
      <xdr:nvSpPr>
        <xdr:cNvPr id="225" name="nuNumber: 239" hidden="1">
          <a:extLst>
            <a:ext uri="{FF2B5EF4-FFF2-40B4-BE49-F238E27FC236}">
              <a16:creationId xmlns:a16="http://schemas.microsoft.com/office/drawing/2014/main" id="{43D06240-A620-4A10-A19C-0CF8C7B28E27}"/>
            </a:ext>
          </a:extLst>
        </xdr:cNvPr>
        <xdr:cNvSpPr/>
      </xdr:nvSpPr>
      <xdr:spPr bwMode="auto">
        <a:xfrm>
          <a:off x="15135225" y="73621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34</xdr:row>
      <xdr:rowOff>142240</xdr:rowOff>
    </xdr:from>
    <xdr:to>
      <xdr:col>21</xdr:col>
      <xdr:colOff>63500</xdr:colOff>
      <xdr:row>35</xdr:row>
      <xdr:rowOff>0</xdr:rowOff>
    </xdr:to>
    <xdr:sp macro="" textlink="">
      <xdr:nvSpPr>
        <xdr:cNvPr id="226" name="nuNumber: 240" hidden="1">
          <a:extLst>
            <a:ext uri="{FF2B5EF4-FFF2-40B4-BE49-F238E27FC236}">
              <a16:creationId xmlns:a16="http://schemas.microsoft.com/office/drawing/2014/main" id="{C82D22D2-45AA-4AD4-A5B1-D137E1F49C11}"/>
            </a:ext>
          </a:extLst>
        </xdr:cNvPr>
        <xdr:cNvSpPr/>
      </xdr:nvSpPr>
      <xdr:spPr bwMode="auto">
        <a:xfrm>
          <a:off x="15849600" y="73621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35</xdr:row>
      <xdr:rowOff>142240</xdr:rowOff>
    </xdr:from>
    <xdr:to>
      <xdr:col>6</xdr:col>
      <xdr:colOff>63500</xdr:colOff>
      <xdr:row>36</xdr:row>
      <xdr:rowOff>0</xdr:rowOff>
    </xdr:to>
    <xdr:sp macro="" textlink="">
      <xdr:nvSpPr>
        <xdr:cNvPr id="227" name="nuNumber: 241" hidden="1">
          <a:extLst>
            <a:ext uri="{FF2B5EF4-FFF2-40B4-BE49-F238E27FC236}">
              <a16:creationId xmlns:a16="http://schemas.microsoft.com/office/drawing/2014/main" id="{87D4A3B5-9139-4260-8E5B-07F0CDA0B03F}"/>
            </a:ext>
          </a:extLst>
        </xdr:cNvPr>
        <xdr:cNvSpPr/>
      </xdr:nvSpPr>
      <xdr:spPr bwMode="auto">
        <a:xfrm>
          <a:off x="3800475" y="75717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35</xdr:row>
      <xdr:rowOff>142240</xdr:rowOff>
    </xdr:from>
    <xdr:to>
      <xdr:col>7</xdr:col>
      <xdr:colOff>63500</xdr:colOff>
      <xdr:row>36</xdr:row>
      <xdr:rowOff>0</xdr:rowOff>
    </xdr:to>
    <xdr:sp macro="" textlink="">
      <xdr:nvSpPr>
        <xdr:cNvPr id="228" name="nuNumber: 242" hidden="1">
          <a:extLst>
            <a:ext uri="{FF2B5EF4-FFF2-40B4-BE49-F238E27FC236}">
              <a16:creationId xmlns:a16="http://schemas.microsoft.com/office/drawing/2014/main" id="{F1CCE4BF-8613-428F-BED7-C280ACD43AB9}"/>
            </a:ext>
          </a:extLst>
        </xdr:cNvPr>
        <xdr:cNvSpPr/>
      </xdr:nvSpPr>
      <xdr:spPr bwMode="auto">
        <a:xfrm>
          <a:off x="4676775" y="75717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35</xdr:row>
      <xdr:rowOff>142240</xdr:rowOff>
    </xdr:from>
    <xdr:to>
      <xdr:col>8</xdr:col>
      <xdr:colOff>63500</xdr:colOff>
      <xdr:row>36</xdr:row>
      <xdr:rowOff>0</xdr:rowOff>
    </xdr:to>
    <xdr:sp macro="" textlink="">
      <xdr:nvSpPr>
        <xdr:cNvPr id="229" name="nuNumber: 243" hidden="1">
          <a:extLst>
            <a:ext uri="{FF2B5EF4-FFF2-40B4-BE49-F238E27FC236}">
              <a16:creationId xmlns:a16="http://schemas.microsoft.com/office/drawing/2014/main" id="{0D81E361-6A80-4363-8C1D-396028C03DC6}"/>
            </a:ext>
          </a:extLst>
        </xdr:cNvPr>
        <xdr:cNvSpPr/>
      </xdr:nvSpPr>
      <xdr:spPr bwMode="auto">
        <a:xfrm>
          <a:off x="5562600" y="75717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35</xdr:row>
      <xdr:rowOff>142240</xdr:rowOff>
    </xdr:from>
    <xdr:to>
      <xdr:col>9</xdr:col>
      <xdr:colOff>63500</xdr:colOff>
      <xdr:row>36</xdr:row>
      <xdr:rowOff>0</xdr:rowOff>
    </xdr:to>
    <xdr:sp macro="" textlink="">
      <xdr:nvSpPr>
        <xdr:cNvPr id="230" name="nuNumber: 244" hidden="1">
          <a:extLst>
            <a:ext uri="{FF2B5EF4-FFF2-40B4-BE49-F238E27FC236}">
              <a16:creationId xmlns:a16="http://schemas.microsoft.com/office/drawing/2014/main" id="{E47331B6-C491-4328-9A70-1D5DA157C414}"/>
            </a:ext>
          </a:extLst>
        </xdr:cNvPr>
        <xdr:cNvSpPr/>
      </xdr:nvSpPr>
      <xdr:spPr bwMode="auto">
        <a:xfrm>
          <a:off x="6467475" y="75717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35</xdr:row>
      <xdr:rowOff>142240</xdr:rowOff>
    </xdr:from>
    <xdr:to>
      <xdr:col>9</xdr:col>
      <xdr:colOff>63500</xdr:colOff>
      <xdr:row>36</xdr:row>
      <xdr:rowOff>0</xdr:rowOff>
    </xdr:to>
    <xdr:sp macro="" textlink="">
      <xdr:nvSpPr>
        <xdr:cNvPr id="231" name="nuNumber: 245" hidden="1">
          <a:extLst>
            <a:ext uri="{FF2B5EF4-FFF2-40B4-BE49-F238E27FC236}">
              <a16:creationId xmlns:a16="http://schemas.microsoft.com/office/drawing/2014/main" id="{92071773-595E-4258-A435-CC23E0BC0435}"/>
            </a:ext>
          </a:extLst>
        </xdr:cNvPr>
        <xdr:cNvSpPr/>
      </xdr:nvSpPr>
      <xdr:spPr bwMode="auto">
        <a:xfrm>
          <a:off x="6467475" y="75717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35</xdr:row>
      <xdr:rowOff>142240</xdr:rowOff>
    </xdr:from>
    <xdr:to>
      <xdr:col>11</xdr:col>
      <xdr:colOff>63500</xdr:colOff>
      <xdr:row>36</xdr:row>
      <xdr:rowOff>0</xdr:rowOff>
    </xdr:to>
    <xdr:sp macro="" textlink="">
      <xdr:nvSpPr>
        <xdr:cNvPr id="232" name="nuNumber: 246" hidden="1">
          <a:extLst>
            <a:ext uri="{FF2B5EF4-FFF2-40B4-BE49-F238E27FC236}">
              <a16:creationId xmlns:a16="http://schemas.microsoft.com/office/drawing/2014/main" id="{C587FC6A-C62B-4D57-A60D-54AF327F5F31}"/>
            </a:ext>
          </a:extLst>
        </xdr:cNvPr>
        <xdr:cNvSpPr/>
      </xdr:nvSpPr>
      <xdr:spPr bwMode="auto">
        <a:xfrm>
          <a:off x="8105775" y="75717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35</xdr:row>
      <xdr:rowOff>142240</xdr:rowOff>
    </xdr:from>
    <xdr:to>
      <xdr:col>12</xdr:col>
      <xdr:colOff>63500</xdr:colOff>
      <xdr:row>36</xdr:row>
      <xdr:rowOff>0</xdr:rowOff>
    </xdr:to>
    <xdr:sp macro="" textlink="">
      <xdr:nvSpPr>
        <xdr:cNvPr id="233" name="nuNumber: 247" hidden="1">
          <a:extLst>
            <a:ext uri="{FF2B5EF4-FFF2-40B4-BE49-F238E27FC236}">
              <a16:creationId xmlns:a16="http://schemas.microsoft.com/office/drawing/2014/main" id="{E3943691-422E-43C6-B030-8B50E4601CA8}"/>
            </a:ext>
          </a:extLst>
        </xdr:cNvPr>
        <xdr:cNvSpPr/>
      </xdr:nvSpPr>
      <xdr:spPr bwMode="auto">
        <a:xfrm>
          <a:off x="8972550" y="75717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35</xdr:row>
      <xdr:rowOff>142240</xdr:rowOff>
    </xdr:from>
    <xdr:to>
      <xdr:col>13</xdr:col>
      <xdr:colOff>63500</xdr:colOff>
      <xdr:row>36</xdr:row>
      <xdr:rowOff>0</xdr:rowOff>
    </xdr:to>
    <xdr:sp macro="" textlink="">
      <xdr:nvSpPr>
        <xdr:cNvPr id="234" name="nuNumber: 248" hidden="1">
          <a:extLst>
            <a:ext uri="{FF2B5EF4-FFF2-40B4-BE49-F238E27FC236}">
              <a16:creationId xmlns:a16="http://schemas.microsoft.com/office/drawing/2014/main" id="{CC2D7042-8320-4119-95C5-ED212892597A}"/>
            </a:ext>
          </a:extLst>
        </xdr:cNvPr>
        <xdr:cNvSpPr/>
      </xdr:nvSpPr>
      <xdr:spPr bwMode="auto">
        <a:xfrm>
          <a:off x="9753600" y="75717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35</xdr:row>
      <xdr:rowOff>142240</xdr:rowOff>
    </xdr:from>
    <xdr:to>
      <xdr:col>14</xdr:col>
      <xdr:colOff>63500</xdr:colOff>
      <xdr:row>36</xdr:row>
      <xdr:rowOff>0</xdr:rowOff>
    </xdr:to>
    <xdr:sp macro="" textlink="">
      <xdr:nvSpPr>
        <xdr:cNvPr id="235" name="nuNumber: 249" hidden="1">
          <a:extLst>
            <a:ext uri="{FF2B5EF4-FFF2-40B4-BE49-F238E27FC236}">
              <a16:creationId xmlns:a16="http://schemas.microsoft.com/office/drawing/2014/main" id="{16AF39D6-264A-4F53-BB38-CA65F0D26F51}"/>
            </a:ext>
          </a:extLst>
        </xdr:cNvPr>
        <xdr:cNvSpPr/>
      </xdr:nvSpPr>
      <xdr:spPr bwMode="auto">
        <a:xfrm>
          <a:off x="10515600" y="75717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35</xdr:row>
      <xdr:rowOff>142240</xdr:rowOff>
    </xdr:from>
    <xdr:to>
      <xdr:col>15</xdr:col>
      <xdr:colOff>63500</xdr:colOff>
      <xdr:row>36</xdr:row>
      <xdr:rowOff>0</xdr:rowOff>
    </xdr:to>
    <xdr:sp macro="" textlink="">
      <xdr:nvSpPr>
        <xdr:cNvPr id="236" name="nuNumber: 250" hidden="1">
          <a:extLst>
            <a:ext uri="{FF2B5EF4-FFF2-40B4-BE49-F238E27FC236}">
              <a16:creationId xmlns:a16="http://schemas.microsoft.com/office/drawing/2014/main" id="{DB57BBB5-DDE3-4157-B8E8-30EECB97D55F}"/>
            </a:ext>
          </a:extLst>
        </xdr:cNvPr>
        <xdr:cNvSpPr/>
      </xdr:nvSpPr>
      <xdr:spPr bwMode="auto">
        <a:xfrm>
          <a:off x="11325225" y="75717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35</xdr:row>
      <xdr:rowOff>142240</xdr:rowOff>
    </xdr:from>
    <xdr:to>
      <xdr:col>16</xdr:col>
      <xdr:colOff>63500</xdr:colOff>
      <xdr:row>36</xdr:row>
      <xdr:rowOff>0</xdr:rowOff>
    </xdr:to>
    <xdr:sp macro="" textlink="">
      <xdr:nvSpPr>
        <xdr:cNvPr id="237" name="nuNumber: 251" hidden="1">
          <a:extLst>
            <a:ext uri="{FF2B5EF4-FFF2-40B4-BE49-F238E27FC236}">
              <a16:creationId xmlns:a16="http://schemas.microsoft.com/office/drawing/2014/main" id="{41DAD848-D13F-4E95-BF13-5F4A58D1AAAB}"/>
            </a:ext>
          </a:extLst>
        </xdr:cNvPr>
        <xdr:cNvSpPr/>
      </xdr:nvSpPr>
      <xdr:spPr bwMode="auto">
        <a:xfrm>
          <a:off x="12106275" y="75717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35</xdr:row>
      <xdr:rowOff>142240</xdr:rowOff>
    </xdr:from>
    <xdr:to>
      <xdr:col>17</xdr:col>
      <xdr:colOff>63500</xdr:colOff>
      <xdr:row>36</xdr:row>
      <xdr:rowOff>0</xdr:rowOff>
    </xdr:to>
    <xdr:sp macro="" textlink="">
      <xdr:nvSpPr>
        <xdr:cNvPr id="238" name="nuNumber: 252" hidden="1">
          <a:extLst>
            <a:ext uri="{FF2B5EF4-FFF2-40B4-BE49-F238E27FC236}">
              <a16:creationId xmlns:a16="http://schemas.microsoft.com/office/drawing/2014/main" id="{A2A1AFD1-B245-4129-9C0E-C6801107682D}"/>
            </a:ext>
          </a:extLst>
        </xdr:cNvPr>
        <xdr:cNvSpPr/>
      </xdr:nvSpPr>
      <xdr:spPr bwMode="auto">
        <a:xfrm>
          <a:off x="12887325" y="75717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35</xdr:row>
      <xdr:rowOff>142240</xdr:rowOff>
    </xdr:from>
    <xdr:to>
      <xdr:col>18</xdr:col>
      <xdr:colOff>63499</xdr:colOff>
      <xdr:row>36</xdr:row>
      <xdr:rowOff>0</xdr:rowOff>
    </xdr:to>
    <xdr:sp macro="" textlink="">
      <xdr:nvSpPr>
        <xdr:cNvPr id="239" name="nuNumber: 253" hidden="1">
          <a:extLst>
            <a:ext uri="{FF2B5EF4-FFF2-40B4-BE49-F238E27FC236}">
              <a16:creationId xmlns:a16="http://schemas.microsoft.com/office/drawing/2014/main" id="{2188ACC9-2C6C-49BA-8184-D7500014F4B3}"/>
            </a:ext>
          </a:extLst>
        </xdr:cNvPr>
        <xdr:cNvSpPr/>
      </xdr:nvSpPr>
      <xdr:spPr bwMode="auto">
        <a:xfrm>
          <a:off x="13624559" y="7571740"/>
          <a:ext cx="5969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35</xdr:row>
      <xdr:rowOff>142240</xdr:rowOff>
    </xdr:from>
    <xdr:to>
      <xdr:col>19</xdr:col>
      <xdr:colOff>63500</xdr:colOff>
      <xdr:row>36</xdr:row>
      <xdr:rowOff>0</xdr:rowOff>
    </xdr:to>
    <xdr:sp macro="" textlink="">
      <xdr:nvSpPr>
        <xdr:cNvPr id="240" name="nuNumber: 254" hidden="1">
          <a:extLst>
            <a:ext uri="{FF2B5EF4-FFF2-40B4-BE49-F238E27FC236}">
              <a16:creationId xmlns:a16="http://schemas.microsoft.com/office/drawing/2014/main" id="{6586959F-EB63-4BD1-8459-E40DF9FBEC93}"/>
            </a:ext>
          </a:extLst>
        </xdr:cNvPr>
        <xdr:cNvSpPr/>
      </xdr:nvSpPr>
      <xdr:spPr bwMode="auto">
        <a:xfrm>
          <a:off x="14382750" y="75717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35</xdr:row>
      <xdr:rowOff>142240</xdr:rowOff>
    </xdr:from>
    <xdr:to>
      <xdr:col>20</xdr:col>
      <xdr:colOff>63500</xdr:colOff>
      <xdr:row>36</xdr:row>
      <xdr:rowOff>0</xdr:rowOff>
    </xdr:to>
    <xdr:sp macro="" textlink="">
      <xdr:nvSpPr>
        <xdr:cNvPr id="241" name="nuNumber: 255" hidden="1">
          <a:extLst>
            <a:ext uri="{FF2B5EF4-FFF2-40B4-BE49-F238E27FC236}">
              <a16:creationId xmlns:a16="http://schemas.microsoft.com/office/drawing/2014/main" id="{7565DCB3-2916-4344-A179-C994C1FBDB72}"/>
            </a:ext>
          </a:extLst>
        </xdr:cNvPr>
        <xdr:cNvSpPr/>
      </xdr:nvSpPr>
      <xdr:spPr bwMode="auto">
        <a:xfrm>
          <a:off x="15135225" y="75717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35</xdr:row>
      <xdr:rowOff>142240</xdr:rowOff>
    </xdr:from>
    <xdr:to>
      <xdr:col>21</xdr:col>
      <xdr:colOff>63500</xdr:colOff>
      <xdr:row>36</xdr:row>
      <xdr:rowOff>0</xdr:rowOff>
    </xdr:to>
    <xdr:sp macro="" textlink="">
      <xdr:nvSpPr>
        <xdr:cNvPr id="242" name="nuNumber: 256" hidden="1">
          <a:extLst>
            <a:ext uri="{FF2B5EF4-FFF2-40B4-BE49-F238E27FC236}">
              <a16:creationId xmlns:a16="http://schemas.microsoft.com/office/drawing/2014/main" id="{BFB239E3-9C29-4CF3-980A-484AF87EF64E}"/>
            </a:ext>
          </a:extLst>
        </xdr:cNvPr>
        <xdr:cNvSpPr/>
      </xdr:nvSpPr>
      <xdr:spPr bwMode="auto">
        <a:xfrm>
          <a:off x="15849600" y="75717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39</xdr:row>
      <xdr:rowOff>142240</xdr:rowOff>
    </xdr:from>
    <xdr:to>
      <xdr:col>7</xdr:col>
      <xdr:colOff>63500</xdr:colOff>
      <xdr:row>40</xdr:row>
      <xdr:rowOff>0</xdr:rowOff>
    </xdr:to>
    <xdr:sp macro="" textlink="">
      <xdr:nvSpPr>
        <xdr:cNvPr id="243" name="nuNumber: 257" hidden="1">
          <a:extLst>
            <a:ext uri="{FF2B5EF4-FFF2-40B4-BE49-F238E27FC236}">
              <a16:creationId xmlns:a16="http://schemas.microsoft.com/office/drawing/2014/main" id="{322C9A4A-21FF-4AB1-99A4-BD711E0D96D4}"/>
            </a:ext>
          </a:extLst>
        </xdr:cNvPr>
        <xdr:cNvSpPr/>
      </xdr:nvSpPr>
      <xdr:spPr bwMode="auto">
        <a:xfrm>
          <a:off x="4676775" y="84480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39</xdr:row>
      <xdr:rowOff>142240</xdr:rowOff>
    </xdr:from>
    <xdr:to>
      <xdr:col>8</xdr:col>
      <xdr:colOff>63500</xdr:colOff>
      <xdr:row>40</xdr:row>
      <xdr:rowOff>0</xdr:rowOff>
    </xdr:to>
    <xdr:sp macro="" textlink="">
      <xdr:nvSpPr>
        <xdr:cNvPr id="244" name="nuNumber: 258" hidden="1">
          <a:extLst>
            <a:ext uri="{FF2B5EF4-FFF2-40B4-BE49-F238E27FC236}">
              <a16:creationId xmlns:a16="http://schemas.microsoft.com/office/drawing/2014/main" id="{26BDB175-76E0-4B17-9AB4-7001970AD77B}"/>
            </a:ext>
          </a:extLst>
        </xdr:cNvPr>
        <xdr:cNvSpPr/>
      </xdr:nvSpPr>
      <xdr:spPr bwMode="auto">
        <a:xfrm>
          <a:off x="5562600" y="84480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39</xdr:row>
      <xdr:rowOff>142240</xdr:rowOff>
    </xdr:from>
    <xdr:to>
      <xdr:col>9</xdr:col>
      <xdr:colOff>63500</xdr:colOff>
      <xdr:row>40</xdr:row>
      <xdr:rowOff>0</xdr:rowOff>
    </xdr:to>
    <xdr:sp macro="" textlink="">
      <xdr:nvSpPr>
        <xdr:cNvPr id="245" name="nuNumber: 259" hidden="1">
          <a:extLst>
            <a:ext uri="{FF2B5EF4-FFF2-40B4-BE49-F238E27FC236}">
              <a16:creationId xmlns:a16="http://schemas.microsoft.com/office/drawing/2014/main" id="{78711038-CCE5-4EFB-8291-3FF3E6E57BEA}"/>
            </a:ext>
          </a:extLst>
        </xdr:cNvPr>
        <xdr:cNvSpPr/>
      </xdr:nvSpPr>
      <xdr:spPr bwMode="auto">
        <a:xfrm>
          <a:off x="6467475" y="84480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39</xdr:row>
      <xdr:rowOff>142240</xdr:rowOff>
    </xdr:from>
    <xdr:to>
      <xdr:col>11</xdr:col>
      <xdr:colOff>63500</xdr:colOff>
      <xdr:row>40</xdr:row>
      <xdr:rowOff>0</xdr:rowOff>
    </xdr:to>
    <xdr:sp macro="" textlink="">
      <xdr:nvSpPr>
        <xdr:cNvPr id="246" name="nuNumber: 260" hidden="1">
          <a:extLst>
            <a:ext uri="{FF2B5EF4-FFF2-40B4-BE49-F238E27FC236}">
              <a16:creationId xmlns:a16="http://schemas.microsoft.com/office/drawing/2014/main" id="{52B92F14-F8F9-4CD0-BB07-03702C5832AB}"/>
            </a:ext>
          </a:extLst>
        </xdr:cNvPr>
        <xdr:cNvSpPr/>
      </xdr:nvSpPr>
      <xdr:spPr bwMode="auto">
        <a:xfrm>
          <a:off x="8105775" y="84480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39</xdr:row>
      <xdr:rowOff>142240</xdr:rowOff>
    </xdr:from>
    <xdr:to>
      <xdr:col>12</xdr:col>
      <xdr:colOff>63500</xdr:colOff>
      <xdr:row>40</xdr:row>
      <xdr:rowOff>0</xdr:rowOff>
    </xdr:to>
    <xdr:sp macro="" textlink="">
      <xdr:nvSpPr>
        <xdr:cNvPr id="247" name="nuNumber: 261" hidden="1">
          <a:extLst>
            <a:ext uri="{FF2B5EF4-FFF2-40B4-BE49-F238E27FC236}">
              <a16:creationId xmlns:a16="http://schemas.microsoft.com/office/drawing/2014/main" id="{E2ADB9C7-3B7C-44D0-97CC-5018EBE734A8}"/>
            </a:ext>
          </a:extLst>
        </xdr:cNvPr>
        <xdr:cNvSpPr/>
      </xdr:nvSpPr>
      <xdr:spPr bwMode="auto">
        <a:xfrm>
          <a:off x="8972550" y="84480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39</xdr:row>
      <xdr:rowOff>142240</xdr:rowOff>
    </xdr:from>
    <xdr:to>
      <xdr:col>13</xdr:col>
      <xdr:colOff>63500</xdr:colOff>
      <xdr:row>40</xdr:row>
      <xdr:rowOff>0</xdr:rowOff>
    </xdr:to>
    <xdr:sp macro="" textlink="">
      <xdr:nvSpPr>
        <xdr:cNvPr id="248" name="nuNumber: 262" hidden="1">
          <a:extLst>
            <a:ext uri="{FF2B5EF4-FFF2-40B4-BE49-F238E27FC236}">
              <a16:creationId xmlns:a16="http://schemas.microsoft.com/office/drawing/2014/main" id="{6B467589-81FC-4CD1-A4CC-BDECF2366435}"/>
            </a:ext>
          </a:extLst>
        </xdr:cNvPr>
        <xdr:cNvSpPr/>
      </xdr:nvSpPr>
      <xdr:spPr bwMode="auto">
        <a:xfrm>
          <a:off x="9753600" y="84480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39</xdr:row>
      <xdr:rowOff>142240</xdr:rowOff>
    </xdr:from>
    <xdr:to>
      <xdr:col>14</xdr:col>
      <xdr:colOff>63500</xdr:colOff>
      <xdr:row>40</xdr:row>
      <xdr:rowOff>0</xdr:rowOff>
    </xdr:to>
    <xdr:sp macro="" textlink="">
      <xdr:nvSpPr>
        <xdr:cNvPr id="249" name="nuNumber: 263" hidden="1">
          <a:extLst>
            <a:ext uri="{FF2B5EF4-FFF2-40B4-BE49-F238E27FC236}">
              <a16:creationId xmlns:a16="http://schemas.microsoft.com/office/drawing/2014/main" id="{21DADCEA-446A-4759-9B06-6B8E89FD97A2}"/>
            </a:ext>
          </a:extLst>
        </xdr:cNvPr>
        <xdr:cNvSpPr/>
      </xdr:nvSpPr>
      <xdr:spPr bwMode="auto">
        <a:xfrm>
          <a:off x="10515600" y="84480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39</xdr:row>
      <xdr:rowOff>142240</xdr:rowOff>
    </xdr:from>
    <xdr:to>
      <xdr:col>15</xdr:col>
      <xdr:colOff>63500</xdr:colOff>
      <xdr:row>40</xdr:row>
      <xdr:rowOff>0</xdr:rowOff>
    </xdr:to>
    <xdr:sp macro="" textlink="">
      <xdr:nvSpPr>
        <xdr:cNvPr id="250" name="nuNumber: 264" hidden="1">
          <a:extLst>
            <a:ext uri="{FF2B5EF4-FFF2-40B4-BE49-F238E27FC236}">
              <a16:creationId xmlns:a16="http://schemas.microsoft.com/office/drawing/2014/main" id="{677C53D6-AA4C-453A-8908-D6319C90FFC5}"/>
            </a:ext>
          </a:extLst>
        </xdr:cNvPr>
        <xdr:cNvSpPr/>
      </xdr:nvSpPr>
      <xdr:spPr bwMode="auto">
        <a:xfrm>
          <a:off x="11325225" y="84480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39</xdr:row>
      <xdr:rowOff>142240</xdr:rowOff>
    </xdr:from>
    <xdr:to>
      <xdr:col>16</xdr:col>
      <xdr:colOff>63500</xdr:colOff>
      <xdr:row>40</xdr:row>
      <xdr:rowOff>0</xdr:rowOff>
    </xdr:to>
    <xdr:sp macro="" textlink="">
      <xdr:nvSpPr>
        <xdr:cNvPr id="251" name="nuNumber: 265" hidden="1">
          <a:extLst>
            <a:ext uri="{FF2B5EF4-FFF2-40B4-BE49-F238E27FC236}">
              <a16:creationId xmlns:a16="http://schemas.microsoft.com/office/drawing/2014/main" id="{39769DB5-9291-4C80-907B-88157D141D87}"/>
            </a:ext>
          </a:extLst>
        </xdr:cNvPr>
        <xdr:cNvSpPr/>
      </xdr:nvSpPr>
      <xdr:spPr bwMode="auto">
        <a:xfrm>
          <a:off x="12106275" y="84480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39</xdr:row>
      <xdr:rowOff>142240</xdr:rowOff>
    </xdr:from>
    <xdr:to>
      <xdr:col>17</xdr:col>
      <xdr:colOff>63500</xdr:colOff>
      <xdr:row>40</xdr:row>
      <xdr:rowOff>0</xdr:rowOff>
    </xdr:to>
    <xdr:sp macro="" textlink="">
      <xdr:nvSpPr>
        <xdr:cNvPr id="252" name="nuNumber: 266" hidden="1">
          <a:extLst>
            <a:ext uri="{FF2B5EF4-FFF2-40B4-BE49-F238E27FC236}">
              <a16:creationId xmlns:a16="http://schemas.microsoft.com/office/drawing/2014/main" id="{4F5C35B5-8B7D-47B3-8E55-01496E6B9BEE}"/>
            </a:ext>
          </a:extLst>
        </xdr:cNvPr>
        <xdr:cNvSpPr/>
      </xdr:nvSpPr>
      <xdr:spPr bwMode="auto">
        <a:xfrm>
          <a:off x="12887325" y="84480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39</xdr:row>
      <xdr:rowOff>142240</xdr:rowOff>
    </xdr:from>
    <xdr:to>
      <xdr:col>18</xdr:col>
      <xdr:colOff>63499</xdr:colOff>
      <xdr:row>40</xdr:row>
      <xdr:rowOff>0</xdr:rowOff>
    </xdr:to>
    <xdr:sp macro="" textlink="">
      <xdr:nvSpPr>
        <xdr:cNvPr id="253" name="nuNumber: 267" hidden="1">
          <a:extLst>
            <a:ext uri="{FF2B5EF4-FFF2-40B4-BE49-F238E27FC236}">
              <a16:creationId xmlns:a16="http://schemas.microsoft.com/office/drawing/2014/main" id="{E417860C-65A7-4D78-9E54-926F6139415D}"/>
            </a:ext>
          </a:extLst>
        </xdr:cNvPr>
        <xdr:cNvSpPr/>
      </xdr:nvSpPr>
      <xdr:spPr bwMode="auto">
        <a:xfrm>
          <a:off x="13624559" y="8448040"/>
          <a:ext cx="5969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39</xdr:row>
      <xdr:rowOff>142240</xdr:rowOff>
    </xdr:from>
    <xdr:to>
      <xdr:col>19</xdr:col>
      <xdr:colOff>63500</xdr:colOff>
      <xdr:row>40</xdr:row>
      <xdr:rowOff>0</xdr:rowOff>
    </xdr:to>
    <xdr:sp macro="" textlink="">
      <xdr:nvSpPr>
        <xdr:cNvPr id="254" name="nuNumber: 268" hidden="1">
          <a:extLst>
            <a:ext uri="{FF2B5EF4-FFF2-40B4-BE49-F238E27FC236}">
              <a16:creationId xmlns:a16="http://schemas.microsoft.com/office/drawing/2014/main" id="{4E33973C-AEF1-4A5A-BBB0-C78DA80B7EC0}"/>
            </a:ext>
          </a:extLst>
        </xdr:cNvPr>
        <xdr:cNvSpPr/>
      </xdr:nvSpPr>
      <xdr:spPr bwMode="auto">
        <a:xfrm>
          <a:off x="14382750" y="84480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39</xdr:row>
      <xdr:rowOff>142240</xdr:rowOff>
    </xdr:from>
    <xdr:to>
      <xdr:col>20</xdr:col>
      <xdr:colOff>63500</xdr:colOff>
      <xdr:row>40</xdr:row>
      <xdr:rowOff>0</xdr:rowOff>
    </xdr:to>
    <xdr:sp macro="" textlink="">
      <xdr:nvSpPr>
        <xdr:cNvPr id="255" name="nuNumber: 269" hidden="1">
          <a:extLst>
            <a:ext uri="{FF2B5EF4-FFF2-40B4-BE49-F238E27FC236}">
              <a16:creationId xmlns:a16="http://schemas.microsoft.com/office/drawing/2014/main" id="{CF7E5398-5509-43A0-A969-05D9949B8688}"/>
            </a:ext>
          </a:extLst>
        </xdr:cNvPr>
        <xdr:cNvSpPr/>
      </xdr:nvSpPr>
      <xdr:spPr bwMode="auto">
        <a:xfrm>
          <a:off x="15135225" y="84480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39</xdr:row>
      <xdr:rowOff>142240</xdr:rowOff>
    </xdr:from>
    <xdr:to>
      <xdr:col>21</xdr:col>
      <xdr:colOff>63500</xdr:colOff>
      <xdr:row>40</xdr:row>
      <xdr:rowOff>0</xdr:rowOff>
    </xdr:to>
    <xdr:sp macro="" textlink="">
      <xdr:nvSpPr>
        <xdr:cNvPr id="256" name="nuNumber: 270" hidden="1">
          <a:extLst>
            <a:ext uri="{FF2B5EF4-FFF2-40B4-BE49-F238E27FC236}">
              <a16:creationId xmlns:a16="http://schemas.microsoft.com/office/drawing/2014/main" id="{5F7B9AFF-20E9-4D79-8E94-C566421B7601}"/>
            </a:ext>
          </a:extLst>
        </xdr:cNvPr>
        <xdr:cNvSpPr/>
      </xdr:nvSpPr>
      <xdr:spPr bwMode="auto">
        <a:xfrm>
          <a:off x="15849600" y="84480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40</xdr:row>
      <xdr:rowOff>142240</xdr:rowOff>
    </xdr:from>
    <xdr:to>
      <xdr:col>8</xdr:col>
      <xdr:colOff>63500</xdr:colOff>
      <xdr:row>41</xdr:row>
      <xdr:rowOff>0</xdr:rowOff>
    </xdr:to>
    <xdr:sp macro="" textlink="">
      <xdr:nvSpPr>
        <xdr:cNvPr id="257" name="nuNumber: 271" hidden="1">
          <a:extLst>
            <a:ext uri="{FF2B5EF4-FFF2-40B4-BE49-F238E27FC236}">
              <a16:creationId xmlns:a16="http://schemas.microsoft.com/office/drawing/2014/main" id="{4DE850E4-6DF6-4DE1-A16C-F85F61EB14E7}"/>
            </a:ext>
          </a:extLst>
        </xdr:cNvPr>
        <xdr:cNvSpPr/>
      </xdr:nvSpPr>
      <xdr:spPr bwMode="auto">
        <a:xfrm>
          <a:off x="5562600" y="86575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41</xdr:row>
      <xdr:rowOff>142240</xdr:rowOff>
    </xdr:from>
    <xdr:to>
      <xdr:col>8</xdr:col>
      <xdr:colOff>63500</xdr:colOff>
      <xdr:row>42</xdr:row>
      <xdr:rowOff>0</xdr:rowOff>
    </xdr:to>
    <xdr:sp macro="" textlink="">
      <xdr:nvSpPr>
        <xdr:cNvPr id="258" name="nuNumber: 272" hidden="1">
          <a:extLst>
            <a:ext uri="{FF2B5EF4-FFF2-40B4-BE49-F238E27FC236}">
              <a16:creationId xmlns:a16="http://schemas.microsoft.com/office/drawing/2014/main" id="{CE7CF3AC-53A8-451E-8573-43D02FF951D6}"/>
            </a:ext>
          </a:extLst>
        </xdr:cNvPr>
        <xdr:cNvSpPr/>
      </xdr:nvSpPr>
      <xdr:spPr bwMode="auto">
        <a:xfrm>
          <a:off x="5562600" y="88671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42</xdr:row>
      <xdr:rowOff>142240</xdr:rowOff>
    </xdr:from>
    <xdr:to>
      <xdr:col>8</xdr:col>
      <xdr:colOff>63500</xdr:colOff>
      <xdr:row>43</xdr:row>
      <xdr:rowOff>0</xdr:rowOff>
    </xdr:to>
    <xdr:sp macro="" textlink="">
      <xdr:nvSpPr>
        <xdr:cNvPr id="259" name="nuNumber: 273" hidden="1">
          <a:extLst>
            <a:ext uri="{FF2B5EF4-FFF2-40B4-BE49-F238E27FC236}">
              <a16:creationId xmlns:a16="http://schemas.microsoft.com/office/drawing/2014/main" id="{3867A6C0-8542-438D-BB62-764AC0E03CE6}"/>
            </a:ext>
          </a:extLst>
        </xdr:cNvPr>
        <xdr:cNvSpPr/>
      </xdr:nvSpPr>
      <xdr:spPr bwMode="auto">
        <a:xfrm>
          <a:off x="5562600" y="90766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43</xdr:row>
      <xdr:rowOff>142240</xdr:rowOff>
    </xdr:from>
    <xdr:to>
      <xdr:col>8</xdr:col>
      <xdr:colOff>63500</xdr:colOff>
      <xdr:row>44</xdr:row>
      <xdr:rowOff>0</xdr:rowOff>
    </xdr:to>
    <xdr:sp macro="" textlink="">
      <xdr:nvSpPr>
        <xdr:cNvPr id="260" name="nuNumber: 274" hidden="1">
          <a:extLst>
            <a:ext uri="{FF2B5EF4-FFF2-40B4-BE49-F238E27FC236}">
              <a16:creationId xmlns:a16="http://schemas.microsoft.com/office/drawing/2014/main" id="{58AA3493-042F-4298-B7EC-0DD13B7DC5D6}"/>
            </a:ext>
          </a:extLst>
        </xdr:cNvPr>
        <xdr:cNvSpPr/>
      </xdr:nvSpPr>
      <xdr:spPr bwMode="auto">
        <a:xfrm>
          <a:off x="5562600" y="92862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44</xdr:row>
      <xdr:rowOff>142240</xdr:rowOff>
    </xdr:from>
    <xdr:to>
      <xdr:col>8</xdr:col>
      <xdr:colOff>63500</xdr:colOff>
      <xdr:row>45</xdr:row>
      <xdr:rowOff>0</xdr:rowOff>
    </xdr:to>
    <xdr:sp macro="" textlink="">
      <xdr:nvSpPr>
        <xdr:cNvPr id="261" name="nuNumber: 275" hidden="1">
          <a:extLst>
            <a:ext uri="{FF2B5EF4-FFF2-40B4-BE49-F238E27FC236}">
              <a16:creationId xmlns:a16="http://schemas.microsoft.com/office/drawing/2014/main" id="{054A3015-DF1C-4995-A772-7E661069811D}"/>
            </a:ext>
          </a:extLst>
        </xdr:cNvPr>
        <xdr:cNvSpPr/>
      </xdr:nvSpPr>
      <xdr:spPr bwMode="auto">
        <a:xfrm>
          <a:off x="5562600" y="94957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45</xdr:row>
      <xdr:rowOff>142240</xdr:rowOff>
    </xdr:from>
    <xdr:to>
      <xdr:col>8</xdr:col>
      <xdr:colOff>63500</xdr:colOff>
      <xdr:row>46</xdr:row>
      <xdr:rowOff>0</xdr:rowOff>
    </xdr:to>
    <xdr:sp macro="" textlink="">
      <xdr:nvSpPr>
        <xdr:cNvPr id="262" name="nuNumber: 276" hidden="1">
          <a:extLst>
            <a:ext uri="{FF2B5EF4-FFF2-40B4-BE49-F238E27FC236}">
              <a16:creationId xmlns:a16="http://schemas.microsoft.com/office/drawing/2014/main" id="{D01A9B37-8B5F-4E31-8FD9-0FD9EE954A18}"/>
            </a:ext>
          </a:extLst>
        </xdr:cNvPr>
        <xdr:cNvSpPr/>
      </xdr:nvSpPr>
      <xdr:spPr bwMode="auto">
        <a:xfrm>
          <a:off x="5562600" y="97053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46</xdr:row>
      <xdr:rowOff>142240</xdr:rowOff>
    </xdr:from>
    <xdr:to>
      <xdr:col>8</xdr:col>
      <xdr:colOff>63500</xdr:colOff>
      <xdr:row>47</xdr:row>
      <xdr:rowOff>0</xdr:rowOff>
    </xdr:to>
    <xdr:sp macro="" textlink="">
      <xdr:nvSpPr>
        <xdr:cNvPr id="263" name="nuNumber: 277" hidden="1">
          <a:extLst>
            <a:ext uri="{FF2B5EF4-FFF2-40B4-BE49-F238E27FC236}">
              <a16:creationId xmlns:a16="http://schemas.microsoft.com/office/drawing/2014/main" id="{A1A6FFF2-F4B3-458A-BB18-66EBFD968D54}"/>
            </a:ext>
          </a:extLst>
        </xdr:cNvPr>
        <xdr:cNvSpPr/>
      </xdr:nvSpPr>
      <xdr:spPr bwMode="auto">
        <a:xfrm>
          <a:off x="5562600" y="99148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47</xdr:row>
      <xdr:rowOff>142240</xdr:rowOff>
    </xdr:from>
    <xdr:to>
      <xdr:col>8</xdr:col>
      <xdr:colOff>63500</xdr:colOff>
      <xdr:row>48</xdr:row>
      <xdr:rowOff>0</xdr:rowOff>
    </xdr:to>
    <xdr:sp macro="" textlink="">
      <xdr:nvSpPr>
        <xdr:cNvPr id="264" name="nuNumber: 278" hidden="1">
          <a:extLst>
            <a:ext uri="{FF2B5EF4-FFF2-40B4-BE49-F238E27FC236}">
              <a16:creationId xmlns:a16="http://schemas.microsoft.com/office/drawing/2014/main" id="{E26368E8-360B-4267-B117-C5DA15EBD726}"/>
            </a:ext>
          </a:extLst>
        </xdr:cNvPr>
        <xdr:cNvSpPr/>
      </xdr:nvSpPr>
      <xdr:spPr bwMode="auto">
        <a:xfrm>
          <a:off x="5562600" y="101244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48</xdr:row>
      <xdr:rowOff>142240</xdr:rowOff>
    </xdr:from>
    <xdr:to>
      <xdr:col>8</xdr:col>
      <xdr:colOff>63500</xdr:colOff>
      <xdr:row>49</xdr:row>
      <xdr:rowOff>0</xdr:rowOff>
    </xdr:to>
    <xdr:sp macro="" textlink="">
      <xdr:nvSpPr>
        <xdr:cNvPr id="265" name="nuNumber: 279" hidden="1">
          <a:extLst>
            <a:ext uri="{FF2B5EF4-FFF2-40B4-BE49-F238E27FC236}">
              <a16:creationId xmlns:a16="http://schemas.microsoft.com/office/drawing/2014/main" id="{A3DE4D4E-03D7-4BA8-A020-2B81ACBDDD18}"/>
            </a:ext>
          </a:extLst>
        </xdr:cNvPr>
        <xdr:cNvSpPr/>
      </xdr:nvSpPr>
      <xdr:spPr bwMode="auto">
        <a:xfrm>
          <a:off x="5562600" y="103339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53</xdr:row>
      <xdr:rowOff>119380</xdr:rowOff>
    </xdr:from>
    <xdr:to>
      <xdr:col>6</xdr:col>
      <xdr:colOff>63500</xdr:colOff>
      <xdr:row>54</xdr:row>
      <xdr:rowOff>0</xdr:rowOff>
    </xdr:to>
    <xdr:sp macro="" textlink="">
      <xdr:nvSpPr>
        <xdr:cNvPr id="266" name="nuNumber: 280" hidden="1">
          <a:extLst>
            <a:ext uri="{FF2B5EF4-FFF2-40B4-BE49-F238E27FC236}">
              <a16:creationId xmlns:a16="http://schemas.microsoft.com/office/drawing/2014/main" id="{739E8F57-8B20-4203-908C-354967E9B4D6}"/>
            </a:ext>
          </a:extLst>
        </xdr:cNvPr>
        <xdr:cNvSpPr/>
      </xdr:nvSpPr>
      <xdr:spPr bwMode="auto">
        <a:xfrm>
          <a:off x="3800475" y="11358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53</xdr:row>
      <xdr:rowOff>119380</xdr:rowOff>
    </xdr:from>
    <xdr:to>
      <xdr:col>7</xdr:col>
      <xdr:colOff>63500</xdr:colOff>
      <xdr:row>54</xdr:row>
      <xdr:rowOff>0</xdr:rowOff>
    </xdr:to>
    <xdr:sp macro="" textlink="">
      <xdr:nvSpPr>
        <xdr:cNvPr id="267" name="nuNumber: 281" hidden="1">
          <a:extLst>
            <a:ext uri="{FF2B5EF4-FFF2-40B4-BE49-F238E27FC236}">
              <a16:creationId xmlns:a16="http://schemas.microsoft.com/office/drawing/2014/main" id="{D4955BFF-A670-44AF-8ED9-05F79D933BC9}"/>
            </a:ext>
          </a:extLst>
        </xdr:cNvPr>
        <xdr:cNvSpPr/>
      </xdr:nvSpPr>
      <xdr:spPr bwMode="auto">
        <a:xfrm>
          <a:off x="4676775" y="11358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53</xdr:row>
      <xdr:rowOff>119380</xdr:rowOff>
    </xdr:from>
    <xdr:to>
      <xdr:col>8</xdr:col>
      <xdr:colOff>63500</xdr:colOff>
      <xdr:row>54</xdr:row>
      <xdr:rowOff>0</xdr:rowOff>
    </xdr:to>
    <xdr:sp macro="" textlink="">
      <xdr:nvSpPr>
        <xdr:cNvPr id="268" name="nuNumber: 282" hidden="1">
          <a:extLst>
            <a:ext uri="{FF2B5EF4-FFF2-40B4-BE49-F238E27FC236}">
              <a16:creationId xmlns:a16="http://schemas.microsoft.com/office/drawing/2014/main" id="{F271AB57-311C-41B1-B873-C33481AD041D}"/>
            </a:ext>
          </a:extLst>
        </xdr:cNvPr>
        <xdr:cNvSpPr/>
      </xdr:nvSpPr>
      <xdr:spPr bwMode="auto">
        <a:xfrm>
          <a:off x="5562600" y="11358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53</xdr:row>
      <xdr:rowOff>119380</xdr:rowOff>
    </xdr:from>
    <xdr:to>
      <xdr:col>9</xdr:col>
      <xdr:colOff>63500</xdr:colOff>
      <xdr:row>54</xdr:row>
      <xdr:rowOff>0</xdr:rowOff>
    </xdr:to>
    <xdr:sp macro="" textlink="">
      <xdr:nvSpPr>
        <xdr:cNvPr id="269" name="nuNumber: 283" hidden="1">
          <a:extLst>
            <a:ext uri="{FF2B5EF4-FFF2-40B4-BE49-F238E27FC236}">
              <a16:creationId xmlns:a16="http://schemas.microsoft.com/office/drawing/2014/main" id="{BEC0BE46-8A0C-4CD2-AA5C-6ED654257CA1}"/>
            </a:ext>
          </a:extLst>
        </xdr:cNvPr>
        <xdr:cNvSpPr/>
      </xdr:nvSpPr>
      <xdr:spPr bwMode="auto">
        <a:xfrm>
          <a:off x="6467475" y="11358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53</xdr:row>
      <xdr:rowOff>119380</xdr:rowOff>
    </xdr:from>
    <xdr:to>
      <xdr:col>9</xdr:col>
      <xdr:colOff>63500</xdr:colOff>
      <xdr:row>54</xdr:row>
      <xdr:rowOff>0</xdr:rowOff>
    </xdr:to>
    <xdr:sp macro="" textlink="">
      <xdr:nvSpPr>
        <xdr:cNvPr id="270" name="nuNumber: 284" hidden="1">
          <a:extLst>
            <a:ext uri="{FF2B5EF4-FFF2-40B4-BE49-F238E27FC236}">
              <a16:creationId xmlns:a16="http://schemas.microsoft.com/office/drawing/2014/main" id="{5190A811-2754-40FF-9121-272B890B0204}"/>
            </a:ext>
          </a:extLst>
        </xdr:cNvPr>
        <xdr:cNvSpPr/>
      </xdr:nvSpPr>
      <xdr:spPr bwMode="auto">
        <a:xfrm>
          <a:off x="6467475" y="11358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53</xdr:row>
      <xdr:rowOff>119380</xdr:rowOff>
    </xdr:from>
    <xdr:to>
      <xdr:col>10</xdr:col>
      <xdr:colOff>63500</xdr:colOff>
      <xdr:row>54</xdr:row>
      <xdr:rowOff>0</xdr:rowOff>
    </xdr:to>
    <xdr:sp macro="" textlink="">
      <xdr:nvSpPr>
        <xdr:cNvPr id="271" name="nuNumber: 285" hidden="1">
          <a:extLst>
            <a:ext uri="{FF2B5EF4-FFF2-40B4-BE49-F238E27FC236}">
              <a16:creationId xmlns:a16="http://schemas.microsoft.com/office/drawing/2014/main" id="{961215F8-6F28-46A6-AE62-107F602FA8CB}"/>
            </a:ext>
          </a:extLst>
        </xdr:cNvPr>
        <xdr:cNvSpPr/>
      </xdr:nvSpPr>
      <xdr:spPr bwMode="auto">
        <a:xfrm>
          <a:off x="7315200" y="11358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53</xdr:row>
      <xdr:rowOff>119380</xdr:rowOff>
    </xdr:from>
    <xdr:to>
      <xdr:col>11</xdr:col>
      <xdr:colOff>63500</xdr:colOff>
      <xdr:row>54</xdr:row>
      <xdr:rowOff>0</xdr:rowOff>
    </xdr:to>
    <xdr:sp macro="" textlink="">
      <xdr:nvSpPr>
        <xdr:cNvPr id="272" name="nuNumber: 286" hidden="1">
          <a:extLst>
            <a:ext uri="{FF2B5EF4-FFF2-40B4-BE49-F238E27FC236}">
              <a16:creationId xmlns:a16="http://schemas.microsoft.com/office/drawing/2014/main" id="{92C3A61C-C725-4C03-97C6-20269A0C3A5E}"/>
            </a:ext>
          </a:extLst>
        </xdr:cNvPr>
        <xdr:cNvSpPr/>
      </xdr:nvSpPr>
      <xdr:spPr bwMode="auto">
        <a:xfrm>
          <a:off x="8105775" y="11358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53</xdr:row>
      <xdr:rowOff>119380</xdr:rowOff>
    </xdr:from>
    <xdr:to>
      <xdr:col>12</xdr:col>
      <xdr:colOff>63500</xdr:colOff>
      <xdr:row>54</xdr:row>
      <xdr:rowOff>0</xdr:rowOff>
    </xdr:to>
    <xdr:sp macro="" textlink="">
      <xdr:nvSpPr>
        <xdr:cNvPr id="273" name="nuNumber: 287" hidden="1">
          <a:extLst>
            <a:ext uri="{FF2B5EF4-FFF2-40B4-BE49-F238E27FC236}">
              <a16:creationId xmlns:a16="http://schemas.microsoft.com/office/drawing/2014/main" id="{13A72A28-6857-4E2A-99AF-5B0C8BD17EFC}"/>
            </a:ext>
          </a:extLst>
        </xdr:cNvPr>
        <xdr:cNvSpPr/>
      </xdr:nvSpPr>
      <xdr:spPr bwMode="auto">
        <a:xfrm>
          <a:off x="8972550" y="11358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53</xdr:row>
      <xdr:rowOff>119380</xdr:rowOff>
    </xdr:from>
    <xdr:to>
      <xdr:col>13</xdr:col>
      <xdr:colOff>63500</xdr:colOff>
      <xdr:row>54</xdr:row>
      <xdr:rowOff>0</xdr:rowOff>
    </xdr:to>
    <xdr:sp macro="" textlink="">
      <xdr:nvSpPr>
        <xdr:cNvPr id="274" name="nuNumber: 288" hidden="1">
          <a:extLst>
            <a:ext uri="{FF2B5EF4-FFF2-40B4-BE49-F238E27FC236}">
              <a16:creationId xmlns:a16="http://schemas.microsoft.com/office/drawing/2014/main" id="{FB40C356-D6DD-414C-897A-116112EA5693}"/>
            </a:ext>
          </a:extLst>
        </xdr:cNvPr>
        <xdr:cNvSpPr/>
      </xdr:nvSpPr>
      <xdr:spPr bwMode="auto">
        <a:xfrm>
          <a:off x="9753600" y="11358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53</xdr:row>
      <xdr:rowOff>119380</xdr:rowOff>
    </xdr:from>
    <xdr:to>
      <xdr:col>14</xdr:col>
      <xdr:colOff>63500</xdr:colOff>
      <xdr:row>54</xdr:row>
      <xdr:rowOff>0</xdr:rowOff>
    </xdr:to>
    <xdr:sp macro="" textlink="">
      <xdr:nvSpPr>
        <xdr:cNvPr id="275" name="nuNumber: 289" hidden="1">
          <a:extLst>
            <a:ext uri="{FF2B5EF4-FFF2-40B4-BE49-F238E27FC236}">
              <a16:creationId xmlns:a16="http://schemas.microsoft.com/office/drawing/2014/main" id="{7D88465B-7C22-4F30-88E3-97E87ACBCEC1}"/>
            </a:ext>
          </a:extLst>
        </xdr:cNvPr>
        <xdr:cNvSpPr/>
      </xdr:nvSpPr>
      <xdr:spPr bwMode="auto">
        <a:xfrm>
          <a:off x="10515600" y="11358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53</xdr:row>
      <xdr:rowOff>119380</xdr:rowOff>
    </xdr:from>
    <xdr:to>
      <xdr:col>15</xdr:col>
      <xdr:colOff>63500</xdr:colOff>
      <xdr:row>54</xdr:row>
      <xdr:rowOff>0</xdr:rowOff>
    </xdr:to>
    <xdr:sp macro="" textlink="">
      <xdr:nvSpPr>
        <xdr:cNvPr id="276" name="nuNumber: 290" hidden="1">
          <a:extLst>
            <a:ext uri="{FF2B5EF4-FFF2-40B4-BE49-F238E27FC236}">
              <a16:creationId xmlns:a16="http://schemas.microsoft.com/office/drawing/2014/main" id="{A3961033-A152-4D3A-BF97-F3309AF26402}"/>
            </a:ext>
          </a:extLst>
        </xdr:cNvPr>
        <xdr:cNvSpPr/>
      </xdr:nvSpPr>
      <xdr:spPr bwMode="auto">
        <a:xfrm>
          <a:off x="11325225" y="11358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53</xdr:row>
      <xdr:rowOff>119380</xdr:rowOff>
    </xdr:from>
    <xdr:to>
      <xdr:col>16</xdr:col>
      <xdr:colOff>63500</xdr:colOff>
      <xdr:row>54</xdr:row>
      <xdr:rowOff>0</xdr:rowOff>
    </xdr:to>
    <xdr:sp macro="" textlink="">
      <xdr:nvSpPr>
        <xdr:cNvPr id="277" name="nuNumber: 291" hidden="1">
          <a:extLst>
            <a:ext uri="{FF2B5EF4-FFF2-40B4-BE49-F238E27FC236}">
              <a16:creationId xmlns:a16="http://schemas.microsoft.com/office/drawing/2014/main" id="{D591C12F-F10A-460D-A4B7-F9E4CA34ED61}"/>
            </a:ext>
          </a:extLst>
        </xdr:cNvPr>
        <xdr:cNvSpPr/>
      </xdr:nvSpPr>
      <xdr:spPr bwMode="auto">
        <a:xfrm>
          <a:off x="12106275" y="11358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53</xdr:row>
      <xdr:rowOff>119380</xdr:rowOff>
    </xdr:from>
    <xdr:to>
      <xdr:col>17</xdr:col>
      <xdr:colOff>63500</xdr:colOff>
      <xdr:row>54</xdr:row>
      <xdr:rowOff>0</xdr:rowOff>
    </xdr:to>
    <xdr:sp macro="" textlink="">
      <xdr:nvSpPr>
        <xdr:cNvPr id="278" name="nuNumber: 292" hidden="1">
          <a:extLst>
            <a:ext uri="{FF2B5EF4-FFF2-40B4-BE49-F238E27FC236}">
              <a16:creationId xmlns:a16="http://schemas.microsoft.com/office/drawing/2014/main" id="{BDFF40E2-ECC6-4352-888B-D869EEC4616F}"/>
            </a:ext>
          </a:extLst>
        </xdr:cNvPr>
        <xdr:cNvSpPr/>
      </xdr:nvSpPr>
      <xdr:spPr bwMode="auto">
        <a:xfrm>
          <a:off x="12887325" y="11358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53</xdr:row>
      <xdr:rowOff>119380</xdr:rowOff>
    </xdr:from>
    <xdr:to>
      <xdr:col>18</xdr:col>
      <xdr:colOff>63499</xdr:colOff>
      <xdr:row>54</xdr:row>
      <xdr:rowOff>0</xdr:rowOff>
    </xdr:to>
    <xdr:sp macro="" textlink="">
      <xdr:nvSpPr>
        <xdr:cNvPr id="279" name="nuNumber: 293" hidden="1">
          <a:extLst>
            <a:ext uri="{FF2B5EF4-FFF2-40B4-BE49-F238E27FC236}">
              <a16:creationId xmlns:a16="http://schemas.microsoft.com/office/drawing/2014/main" id="{4E18FA1F-EF6D-4004-82AB-FC9D01211859}"/>
            </a:ext>
          </a:extLst>
        </xdr:cNvPr>
        <xdr:cNvSpPr/>
      </xdr:nvSpPr>
      <xdr:spPr bwMode="auto">
        <a:xfrm>
          <a:off x="13624559" y="1135888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53</xdr:row>
      <xdr:rowOff>119380</xdr:rowOff>
    </xdr:from>
    <xdr:to>
      <xdr:col>19</xdr:col>
      <xdr:colOff>63500</xdr:colOff>
      <xdr:row>54</xdr:row>
      <xdr:rowOff>0</xdr:rowOff>
    </xdr:to>
    <xdr:sp macro="" textlink="">
      <xdr:nvSpPr>
        <xdr:cNvPr id="280" name="nuNumber: 294" hidden="1">
          <a:extLst>
            <a:ext uri="{FF2B5EF4-FFF2-40B4-BE49-F238E27FC236}">
              <a16:creationId xmlns:a16="http://schemas.microsoft.com/office/drawing/2014/main" id="{B533D90B-436E-4A73-809C-F8DC92BE9408}"/>
            </a:ext>
          </a:extLst>
        </xdr:cNvPr>
        <xdr:cNvSpPr/>
      </xdr:nvSpPr>
      <xdr:spPr bwMode="auto">
        <a:xfrm>
          <a:off x="14382750" y="11358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54</xdr:row>
      <xdr:rowOff>119380</xdr:rowOff>
    </xdr:from>
    <xdr:to>
      <xdr:col>7</xdr:col>
      <xdr:colOff>63500</xdr:colOff>
      <xdr:row>55</xdr:row>
      <xdr:rowOff>0</xdr:rowOff>
    </xdr:to>
    <xdr:sp macro="" textlink="">
      <xdr:nvSpPr>
        <xdr:cNvPr id="281" name="nuNumber: 295" hidden="1">
          <a:extLst>
            <a:ext uri="{FF2B5EF4-FFF2-40B4-BE49-F238E27FC236}">
              <a16:creationId xmlns:a16="http://schemas.microsoft.com/office/drawing/2014/main" id="{FA857600-173F-4FC7-B895-22127ACF9666}"/>
            </a:ext>
          </a:extLst>
        </xdr:cNvPr>
        <xdr:cNvSpPr/>
      </xdr:nvSpPr>
      <xdr:spPr bwMode="auto">
        <a:xfrm>
          <a:off x="4676775" y="11568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54</xdr:row>
      <xdr:rowOff>119380</xdr:rowOff>
    </xdr:from>
    <xdr:to>
      <xdr:col>8</xdr:col>
      <xdr:colOff>63500</xdr:colOff>
      <xdr:row>55</xdr:row>
      <xdr:rowOff>0</xdr:rowOff>
    </xdr:to>
    <xdr:sp macro="" textlink="">
      <xdr:nvSpPr>
        <xdr:cNvPr id="282" name="nuNumber: 296" hidden="1">
          <a:extLst>
            <a:ext uri="{FF2B5EF4-FFF2-40B4-BE49-F238E27FC236}">
              <a16:creationId xmlns:a16="http://schemas.microsoft.com/office/drawing/2014/main" id="{6C51AC91-5830-4597-8111-B1C885C59AE2}"/>
            </a:ext>
          </a:extLst>
        </xdr:cNvPr>
        <xdr:cNvSpPr/>
      </xdr:nvSpPr>
      <xdr:spPr bwMode="auto">
        <a:xfrm>
          <a:off x="5562600" y="11568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54</xdr:row>
      <xdr:rowOff>119380</xdr:rowOff>
    </xdr:from>
    <xdr:to>
      <xdr:col>9</xdr:col>
      <xdr:colOff>63500</xdr:colOff>
      <xdr:row>55</xdr:row>
      <xdr:rowOff>0</xdr:rowOff>
    </xdr:to>
    <xdr:sp macro="" textlink="">
      <xdr:nvSpPr>
        <xdr:cNvPr id="283" name="nuNumber: 297" hidden="1">
          <a:extLst>
            <a:ext uri="{FF2B5EF4-FFF2-40B4-BE49-F238E27FC236}">
              <a16:creationId xmlns:a16="http://schemas.microsoft.com/office/drawing/2014/main" id="{EECCAA3F-D4A6-41EF-9CAE-899575AF9AC3}"/>
            </a:ext>
          </a:extLst>
        </xdr:cNvPr>
        <xdr:cNvSpPr/>
      </xdr:nvSpPr>
      <xdr:spPr bwMode="auto">
        <a:xfrm>
          <a:off x="6467475" y="11568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54</xdr:row>
      <xdr:rowOff>119380</xdr:rowOff>
    </xdr:from>
    <xdr:to>
      <xdr:col>11</xdr:col>
      <xdr:colOff>63500</xdr:colOff>
      <xdr:row>55</xdr:row>
      <xdr:rowOff>0</xdr:rowOff>
    </xdr:to>
    <xdr:sp macro="" textlink="">
      <xdr:nvSpPr>
        <xdr:cNvPr id="284" name="nuNumber: 298" hidden="1">
          <a:extLst>
            <a:ext uri="{FF2B5EF4-FFF2-40B4-BE49-F238E27FC236}">
              <a16:creationId xmlns:a16="http://schemas.microsoft.com/office/drawing/2014/main" id="{A55E7D33-F49B-4434-9B83-F5B4D4C3E42B}"/>
            </a:ext>
          </a:extLst>
        </xdr:cNvPr>
        <xdr:cNvSpPr/>
      </xdr:nvSpPr>
      <xdr:spPr bwMode="auto">
        <a:xfrm>
          <a:off x="8105775" y="11568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54</xdr:row>
      <xdr:rowOff>119380</xdr:rowOff>
    </xdr:from>
    <xdr:to>
      <xdr:col>12</xdr:col>
      <xdr:colOff>63500</xdr:colOff>
      <xdr:row>55</xdr:row>
      <xdr:rowOff>0</xdr:rowOff>
    </xdr:to>
    <xdr:sp macro="" textlink="">
      <xdr:nvSpPr>
        <xdr:cNvPr id="285" name="nuNumber: 299" hidden="1">
          <a:extLst>
            <a:ext uri="{FF2B5EF4-FFF2-40B4-BE49-F238E27FC236}">
              <a16:creationId xmlns:a16="http://schemas.microsoft.com/office/drawing/2014/main" id="{FB320F9F-4B92-4D1B-9CA9-8849FDCAEA74}"/>
            </a:ext>
          </a:extLst>
        </xdr:cNvPr>
        <xdr:cNvSpPr/>
      </xdr:nvSpPr>
      <xdr:spPr bwMode="auto">
        <a:xfrm>
          <a:off x="8972550" y="11568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54</xdr:row>
      <xdr:rowOff>119380</xdr:rowOff>
    </xdr:from>
    <xdr:to>
      <xdr:col>13</xdr:col>
      <xdr:colOff>63500</xdr:colOff>
      <xdr:row>55</xdr:row>
      <xdr:rowOff>0</xdr:rowOff>
    </xdr:to>
    <xdr:sp macro="" textlink="">
      <xdr:nvSpPr>
        <xdr:cNvPr id="286" name="nuNumber: 300" hidden="1">
          <a:extLst>
            <a:ext uri="{FF2B5EF4-FFF2-40B4-BE49-F238E27FC236}">
              <a16:creationId xmlns:a16="http://schemas.microsoft.com/office/drawing/2014/main" id="{299B666E-F02F-4E70-96E3-02A8F95F8327}"/>
            </a:ext>
          </a:extLst>
        </xdr:cNvPr>
        <xdr:cNvSpPr/>
      </xdr:nvSpPr>
      <xdr:spPr bwMode="auto">
        <a:xfrm>
          <a:off x="9753600" y="11568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54</xdr:row>
      <xdr:rowOff>119380</xdr:rowOff>
    </xdr:from>
    <xdr:to>
      <xdr:col>14</xdr:col>
      <xdr:colOff>63500</xdr:colOff>
      <xdr:row>55</xdr:row>
      <xdr:rowOff>0</xdr:rowOff>
    </xdr:to>
    <xdr:sp macro="" textlink="">
      <xdr:nvSpPr>
        <xdr:cNvPr id="287" name="nuNumber: 301" hidden="1">
          <a:extLst>
            <a:ext uri="{FF2B5EF4-FFF2-40B4-BE49-F238E27FC236}">
              <a16:creationId xmlns:a16="http://schemas.microsoft.com/office/drawing/2014/main" id="{BD8355B9-224E-4FBA-9F82-DA26C0E12C55}"/>
            </a:ext>
          </a:extLst>
        </xdr:cNvPr>
        <xdr:cNvSpPr/>
      </xdr:nvSpPr>
      <xdr:spPr bwMode="auto">
        <a:xfrm>
          <a:off x="10515600" y="11568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54</xdr:row>
      <xdr:rowOff>119380</xdr:rowOff>
    </xdr:from>
    <xdr:to>
      <xdr:col>15</xdr:col>
      <xdr:colOff>63500</xdr:colOff>
      <xdr:row>55</xdr:row>
      <xdr:rowOff>0</xdr:rowOff>
    </xdr:to>
    <xdr:sp macro="" textlink="">
      <xdr:nvSpPr>
        <xdr:cNvPr id="288" name="nuNumber: 302" hidden="1">
          <a:extLst>
            <a:ext uri="{FF2B5EF4-FFF2-40B4-BE49-F238E27FC236}">
              <a16:creationId xmlns:a16="http://schemas.microsoft.com/office/drawing/2014/main" id="{8FD1DC5F-8F95-4ACC-8F54-4E0DB65DBEFF}"/>
            </a:ext>
          </a:extLst>
        </xdr:cNvPr>
        <xdr:cNvSpPr/>
      </xdr:nvSpPr>
      <xdr:spPr bwMode="auto">
        <a:xfrm>
          <a:off x="11325225" y="11568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54</xdr:row>
      <xdr:rowOff>119380</xdr:rowOff>
    </xdr:from>
    <xdr:to>
      <xdr:col>16</xdr:col>
      <xdr:colOff>63500</xdr:colOff>
      <xdr:row>55</xdr:row>
      <xdr:rowOff>0</xdr:rowOff>
    </xdr:to>
    <xdr:sp macro="" textlink="">
      <xdr:nvSpPr>
        <xdr:cNvPr id="289" name="nuNumber: 303" hidden="1">
          <a:extLst>
            <a:ext uri="{FF2B5EF4-FFF2-40B4-BE49-F238E27FC236}">
              <a16:creationId xmlns:a16="http://schemas.microsoft.com/office/drawing/2014/main" id="{2EB4352C-F427-4427-98D8-602B3494DEB2}"/>
            </a:ext>
          </a:extLst>
        </xdr:cNvPr>
        <xdr:cNvSpPr/>
      </xdr:nvSpPr>
      <xdr:spPr bwMode="auto">
        <a:xfrm>
          <a:off x="12106275" y="11568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54</xdr:row>
      <xdr:rowOff>119380</xdr:rowOff>
    </xdr:from>
    <xdr:to>
      <xdr:col>17</xdr:col>
      <xdr:colOff>63500</xdr:colOff>
      <xdr:row>55</xdr:row>
      <xdr:rowOff>0</xdr:rowOff>
    </xdr:to>
    <xdr:sp macro="" textlink="">
      <xdr:nvSpPr>
        <xdr:cNvPr id="290" name="nuNumber: 304" hidden="1">
          <a:extLst>
            <a:ext uri="{FF2B5EF4-FFF2-40B4-BE49-F238E27FC236}">
              <a16:creationId xmlns:a16="http://schemas.microsoft.com/office/drawing/2014/main" id="{89E4D39F-D71E-42C9-B1EA-D1C8D65EBAD4}"/>
            </a:ext>
          </a:extLst>
        </xdr:cNvPr>
        <xdr:cNvSpPr/>
      </xdr:nvSpPr>
      <xdr:spPr bwMode="auto">
        <a:xfrm>
          <a:off x="12887325" y="11568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54</xdr:row>
      <xdr:rowOff>119380</xdr:rowOff>
    </xdr:from>
    <xdr:to>
      <xdr:col>18</xdr:col>
      <xdr:colOff>63499</xdr:colOff>
      <xdr:row>55</xdr:row>
      <xdr:rowOff>0</xdr:rowOff>
    </xdr:to>
    <xdr:sp macro="" textlink="">
      <xdr:nvSpPr>
        <xdr:cNvPr id="291" name="nuNumber: 305" hidden="1">
          <a:extLst>
            <a:ext uri="{FF2B5EF4-FFF2-40B4-BE49-F238E27FC236}">
              <a16:creationId xmlns:a16="http://schemas.microsoft.com/office/drawing/2014/main" id="{DA581B4C-BF39-4867-8B80-FA976D31B90C}"/>
            </a:ext>
          </a:extLst>
        </xdr:cNvPr>
        <xdr:cNvSpPr/>
      </xdr:nvSpPr>
      <xdr:spPr bwMode="auto">
        <a:xfrm>
          <a:off x="13624559" y="1156843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54</xdr:row>
      <xdr:rowOff>119380</xdr:rowOff>
    </xdr:from>
    <xdr:to>
      <xdr:col>19</xdr:col>
      <xdr:colOff>63500</xdr:colOff>
      <xdr:row>55</xdr:row>
      <xdr:rowOff>0</xdr:rowOff>
    </xdr:to>
    <xdr:sp macro="" textlink="">
      <xdr:nvSpPr>
        <xdr:cNvPr id="292" name="nuNumber: 306" hidden="1">
          <a:extLst>
            <a:ext uri="{FF2B5EF4-FFF2-40B4-BE49-F238E27FC236}">
              <a16:creationId xmlns:a16="http://schemas.microsoft.com/office/drawing/2014/main" id="{E248D7EA-2869-4AF3-84CA-43E05A66553E}"/>
            </a:ext>
          </a:extLst>
        </xdr:cNvPr>
        <xdr:cNvSpPr/>
      </xdr:nvSpPr>
      <xdr:spPr bwMode="auto">
        <a:xfrm>
          <a:off x="14382750" y="11568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54</xdr:row>
      <xdr:rowOff>119380</xdr:rowOff>
    </xdr:from>
    <xdr:to>
      <xdr:col>20</xdr:col>
      <xdr:colOff>63500</xdr:colOff>
      <xdr:row>55</xdr:row>
      <xdr:rowOff>0</xdr:rowOff>
    </xdr:to>
    <xdr:sp macro="" textlink="">
      <xdr:nvSpPr>
        <xdr:cNvPr id="293" name="nuNumber: 307" hidden="1">
          <a:extLst>
            <a:ext uri="{FF2B5EF4-FFF2-40B4-BE49-F238E27FC236}">
              <a16:creationId xmlns:a16="http://schemas.microsoft.com/office/drawing/2014/main" id="{04D80BC3-BB2F-4244-9B8B-D1B155B80D25}"/>
            </a:ext>
          </a:extLst>
        </xdr:cNvPr>
        <xdr:cNvSpPr/>
      </xdr:nvSpPr>
      <xdr:spPr bwMode="auto">
        <a:xfrm>
          <a:off x="15135225" y="11568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54</xdr:row>
      <xdr:rowOff>119380</xdr:rowOff>
    </xdr:from>
    <xdr:to>
      <xdr:col>21</xdr:col>
      <xdr:colOff>63500</xdr:colOff>
      <xdr:row>55</xdr:row>
      <xdr:rowOff>0</xdr:rowOff>
    </xdr:to>
    <xdr:sp macro="" textlink="">
      <xdr:nvSpPr>
        <xdr:cNvPr id="294" name="nuNumber: 308" hidden="1">
          <a:extLst>
            <a:ext uri="{FF2B5EF4-FFF2-40B4-BE49-F238E27FC236}">
              <a16:creationId xmlns:a16="http://schemas.microsoft.com/office/drawing/2014/main" id="{4ECAC953-B889-43E0-8A4B-07232CE9BE7E}"/>
            </a:ext>
          </a:extLst>
        </xdr:cNvPr>
        <xdr:cNvSpPr/>
      </xdr:nvSpPr>
      <xdr:spPr bwMode="auto">
        <a:xfrm>
          <a:off x="15849600" y="11568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72</xdr:row>
      <xdr:rowOff>119380</xdr:rowOff>
    </xdr:from>
    <xdr:to>
      <xdr:col>8</xdr:col>
      <xdr:colOff>63500</xdr:colOff>
      <xdr:row>73</xdr:row>
      <xdr:rowOff>0</xdr:rowOff>
    </xdr:to>
    <xdr:sp macro="" textlink="">
      <xdr:nvSpPr>
        <xdr:cNvPr id="295" name="nuNumber: 309" hidden="1">
          <a:extLst>
            <a:ext uri="{FF2B5EF4-FFF2-40B4-BE49-F238E27FC236}">
              <a16:creationId xmlns:a16="http://schemas.microsoft.com/office/drawing/2014/main" id="{F6B77485-4014-4467-B7B8-38A7C35847A0}"/>
            </a:ext>
          </a:extLst>
        </xdr:cNvPr>
        <xdr:cNvSpPr/>
      </xdr:nvSpPr>
      <xdr:spPr bwMode="auto">
        <a:xfrm>
          <a:off x="5562600" y="15359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72</xdr:row>
      <xdr:rowOff>119380</xdr:rowOff>
    </xdr:from>
    <xdr:to>
      <xdr:col>9</xdr:col>
      <xdr:colOff>63500</xdr:colOff>
      <xdr:row>73</xdr:row>
      <xdr:rowOff>0</xdr:rowOff>
    </xdr:to>
    <xdr:sp macro="" textlink="">
      <xdr:nvSpPr>
        <xdr:cNvPr id="296" name="nuNumber: 310" hidden="1">
          <a:extLst>
            <a:ext uri="{FF2B5EF4-FFF2-40B4-BE49-F238E27FC236}">
              <a16:creationId xmlns:a16="http://schemas.microsoft.com/office/drawing/2014/main" id="{6090110B-CE27-451F-886B-DA2823DD7D73}"/>
            </a:ext>
          </a:extLst>
        </xdr:cNvPr>
        <xdr:cNvSpPr/>
      </xdr:nvSpPr>
      <xdr:spPr bwMode="auto">
        <a:xfrm>
          <a:off x="6467475" y="15359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72</xdr:row>
      <xdr:rowOff>119380</xdr:rowOff>
    </xdr:from>
    <xdr:to>
      <xdr:col>9</xdr:col>
      <xdr:colOff>63500</xdr:colOff>
      <xdr:row>73</xdr:row>
      <xdr:rowOff>0</xdr:rowOff>
    </xdr:to>
    <xdr:sp macro="" textlink="">
      <xdr:nvSpPr>
        <xdr:cNvPr id="297" name="nuNumber: 311" hidden="1">
          <a:extLst>
            <a:ext uri="{FF2B5EF4-FFF2-40B4-BE49-F238E27FC236}">
              <a16:creationId xmlns:a16="http://schemas.microsoft.com/office/drawing/2014/main" id="{962F83FE-FD92-4F94-9796-CEADC965FA3B}"/>
            </a:ext>
          </a:extLst>
        </xdr:cNvPr>
        <xdr:cNvSpPr/>
      </xdr:nvSpPr>
      <xdr:spPr bwMode="auto">
        <a:xfrm>
          <a:off x="6467475" y="15359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72</xdr:row>
      <xdr:rowOff>119380</xdr:rowOff>
    </xdr:from>
    <xdr:to>
      <xdr:col>10</xdr:col>
      <xdr:colOff>63500</xdr:colOff>
      <xdr:row>73</xdr:row>
      <xdr:rowOff>0</xdr:rowOff>
    </xdr:to>
    <xdr:sp macro="" textlink="">
      <xdr:nvSpPr>
        <xdr:cNvPr id="298" name="nuNumber: 312" hidden="1">
          <a:extLst>
            <a:ext uri="{FF2B5EF4-FFF2-40B4-BE49-F238E27FC236}">
              <a16:creationId xmlns:a16="http://schemas.microsoft.com/office/drawing/2014/main" id="{7ED2F58F-BD8A-453E-BA8A-D32419C2F56A}"/>
            </a:ext>
          </a:extLst>
        </xdr:cNvPr>
        <xdr:cNvSpPr/>
      </xdr:nvSpPr>
      <xdr:spPr bwMode="auto">
        <a:xfrm>
          <a:off x="7315200" y="15359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72</xdr:row>
      <xdr:rowOff>119380</xdr:rowOff>
    </xdr:from>
    <xdr:to>
      <xdr:col>11</xdr:col>
      <xdr:colOff>63500</xdr:colOff>
      <xdr:row>73</xdr:row>
      <xdr:rowOff>0</xdr:rowOff>
    </xdr:to>
    <xdr:sp macro="" textlink="">
      <xdr:nvSpPr>
        <xdr:cNvPr id="299" name="nuNumber: 313" hidden="1">
          <a:extLst>
            <a:ext uri="{FF2B5EF4-FFF2-40B4-BE49-F238E27FC236}">
              <a16:creationId xmlns:a16="http://schemas.microsoft.com/office/drawing/2014/main" id="{C0BBD23C-64FC-405A-8721-A2D135C485D2}"/>
            </a:ext>
          </a:extLst>
        </xdr:cNvPr>
        <xdr:cNvSpPr/>
      </xdr:nvSpPr>
      <xdr:spPr bwMode="auto">
        <a:xfrm>
          <a:off x="8105775" y="15359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72</xdr:row>
      <xdr:rowOff>119380</xdr:rowOff>
    </xdr:from>
    <xdr:to>
      <xdr:col>12</xdr:col>
      <xdr:colOff>63500</xdr:colOff>
      <xdr:row>73</xdr:row>
      <xdr:rowOff>0</xdr:rowOff>
    </xdr:to>
    <xdr:sp macro="" textlink="">
      <xdr:nvSpPr>
        <xdr:cNvPr id="300" name="nuNumber: 314" hidden="1">
          <a:extLst>
            <a:ext uri="{FF2B5EF4-FFF2-40B4-BE49-F238E27FC236}">
              <a16:creationId xmlns:a16="http://schemas.microsoft.com/office/drawing/2014/main" id="{7AFBC391-2265-4867-8168-CF60A1DFA76D}"/>
            </a:ext>
          </a:extLst>
        </xdr:cNvPr>
        <xdr:cNvSpPr/>
      </xdr:nvSpPr>
      <xdr:spPr bwMode="auto">
        <a:xfrm>
          <a:off x="8972550" y="15359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72</xdr:row>
      <xdr:rowOff>119380</xdr:rowOff>
    </xdr:from>
    <xdr:to>
      <xdr:col>13</xdr:col>
      <xdr:colOff>63500</xdr:colOff>
      <xdr:row>73</xdr:row>
      <xdr:rowOff>0</xdr:rowOff>
    </xdr:to>
    <xdr:sp macro="" textlink="">
      <xdr:nvSpPr>
        <xdr:cNvPr id="301" name="nuNumber: 315" hidden="1">
          <a:extLst>
            <a:ext uri="{FF2B5EF4-FFF2-40B4-BE49-F238E27FC236}">
              <a16:creationId xmlns:a16="http://schemas.microsoft.com/office/drawing/2014/main" id="{969F4D9E-5196-42A0-B0DB-9B2BCC949093}"/>
            </a:ext>
          </a:extLst>
        </xdr:cNvPr>
        <xdr:cNvSpPr/>
      </xdr:nvSpPr>
      <xdr:spPr bwMode="auto">
        <a:xfrm>
          <a:off x="9753600" y="15359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72</xdr:row>
      <xdr:rowOff>119380</xdr:rowOff>
    </xdr:from>
    <xdr:to>
      <xdr:col>14</xdr:col>
      <xdr:colOff>63500</xdr:colOff>
      <xdr:row>73</xdr:row>
      <xdr:rowOff>0</xdr:rowOff>
    </xdr:to>
    <xdr:sp macro="" textlink="">
      <xdr:nvSpPr>
        <xdr:cNvPr id="302" name="nuNumber: 316" hidden="1">
          <a:extLst>
            <a:ext uri="{FF2B5EF4-FFF2-40B4-BE49-F238E27FC236}">
              <a16:creationId xmlns:a16="http://schemas.microsoft.com/office/drawing/2014/main" id="{C49A67BA-BA50-40C5-9460-0C1332D5DAB6}"/>
            </a:ext>
          </a:extLst>
        </xdr:cNvPr>
        <xdr:cNvSpPr/>
      </xdr:nvSpPr>
      <xdr:spPr bwMode="auto">
        <a:xfrm>
          <a:off x="10515600" y="15359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72</xdr:row>
      <xdr:rowOff>119380</xdr:rowOff>
    </xdr:from>
    <xdr:to>
      <xdr:col>15</xdr:col>
      <xdr:colOff>63500</xdr:colOff>
      <xdr:row>73</xdr:row>
      <xdr:rowOff>0</xdr:rowOff>
    </xdr:to>
    <xdr:sp macro="" textlink="">
      <xdr:nvSpPr>
        <xdr:cNvPr id="303" name="nuNumber: 317" hidden="1">
          <a:extLst>
            <a:ext uri="{FF2B5EF4-FFF2-40B4-BE49-F238E27FC236}">
              <a16:creationId xmlns:a16="http://schemas.microsoft.com/office/drawing/2014/main" id="{164DADAE-4742-4D1D-8AF4-B19FBF1EBB4C}"/>
            </a:ext>
          </a:extLst>
        </xdr:cNvPr>
        <xdr:cNvSpPr/>
      </xdr:nvSpPr>
      <xdr:spPr bwMode="auto">
        <a:xfrm>
          <a:off x="11325225" y="15359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72</xdr:row>
      <xdr:rowOff>119380</xdr:rowOff>
    </xdr:from>
    <xdr:to>
      <xdr:col>16</xdr:col>
      <xdr:colOff>63500</xdr:colOff>
      <xdr:row>73</xdr:row>
      <xdr:rowOff>0</xdr:rowOff>
    </xdr:to>
    <xdr:sp macro="" textlink="">
      <xdr:nvSpPr>
        <xdr:cNvPr id="304" name="nuNumber: 318" hidden="1">
          <a:extLst>
            <a:ext uri="{FF2B5EF4-FFF2-40B4-BE49-F238E27FC236}">
              <a16:creationId xmlns:a16="http://schemas.microsoft.com/office/drawing/2014/main" id="{36088CD7-F2C8-4136-A4AA-88028C36FCC3}"/>
            </a:ext>
          </a:extLst>
        </xdr:cNvPr>
        <xdr:cNvSpPr/>
      </xdr:nvSpPr>
      <xdr:spPr bwMode="auto">
        <a:xfrm>
          <a:off x="12106275" y="15359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72</xdr:row>
      <xdr:rowOff>119380</xdr:rowOff>
    </xdr:from>
    <xdr:to>
      <xdr:col>17</xdr:col>
      <xdr:colOff>63500</xdr:colOff>
      <xdr:row>73</xdr:row>
      <xdr:rowOff>0</xdr:rowOff>
    </xdr:to>
    <xdr:sp macro="" textlink="">
      <xdr:nvSpPr>
        <xdr:cNvPr id="305" name="nuNumber: 319" hidden="1">
          <a:extLst>
            <a:ext uri="{FF2B5EF4-FFF2-40B4-BE49-F238E27FC236}">
              <a16:creationId xmlns:a16="http://schemas.microsoft.com/office/drawing/2014/main" id="{E14A71E4-C372-4023-9D3E-421A69EF0071}"/>
            </a:ext>
          </a:extLst>
        </xdr:cNvPr>
        <xdr:cNvSpPr/>
      </xdr:nvSpPr>
      <xdr:spPr bwMode="auto">
        <a:xfrm>
          <a:off x="12887325" y="15359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72</xdr:row>
      <xdr:rowOff>119380</xdr:rowOff>
    </xdr:from>
    <xdr:to>
      <xdr:col>18</xdr:col>
      <xdr:colOff>63499</xdr:colOff>
      <xdr:row>73</xdr:row>
      <xdr:rowOff>0</xdr:rowOff>
    </xdr:to>
    <xdr:sp macro="" textlink="">
      <xdr:nvSpPr>
        <xdr:cNvPr id="306" name="nuNumber: 320" hidden="1">
          <a:extLst>
            <a:ext uri="{FF2B5EF4-FFF2-40B4-BE49-F238E27FC236}">
              <a16:creationId xmlns:a16="http://schemas.microsoft.com/office/drawing/2014/main" id="{21791561-D7DB-47CA-80D2-0E8EAD90458F}"/>
            </a:ext>
          </a:extLst>
        </xdr:cNvPr>
        <xdr:cNvSpPr/>
      </xdr:nvSpPr>
      <xdr:spPr bwMode="auto">
        <a:xfrm>
          <a:off x="13624559" y="1535938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72</xdr:row>
      <xdr:rowOff>119380</xdr:rowOff>
    </xdr:from>
    <xdr:to>
      <xdr:col>19</xdr:col>
      <xdr:colOff>63500</xdr:colOff>
      <xdr:row>73</xdr:row>
      <xdr:rowOff>0</xdr:rowOff>
    </xdr:to>
    <xdr:sp macro="" textlink="">
      <xdr:nvSpPr>
        <xdr:cNvPr id="307" name="nuNumber: 321" hidden="1">
          <a:extLst>
            <a:ext uri="{FF2B5EF4-FFF2-40B4-BE49-F238E27FC236}">
              <a16:creationId xmlns:a16="http://schemas.microsoft.com/office/drawing/2014/main" id="{33300E08-6217-4E78-BF80-A57A2E38BC50}"/>
            </a:ext>
          </a:extLst>
        </xdr:cNvPr>
        <xdr:cNvSpPr/>
      </xdr:nvSpPr>
      <xdr:spPr bwMode="auto">
        <a:xfrm>
          <a:off x="14382750" y="15359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72</xdr:row>
      <xdr:rowOff>119380</xdr:rowOff>
    </xdr:from>
    <xdr:to>
      <xdr:col>20</xdr:col>
      <xdr:colOff>63500</xdr:colOff>
      <xdr:row>73</xdr:row>
      <xdr:rowOff>0</xdr:rowOff>
    </xdr:to>
    <xdr:sp macro="" textlink="">
      <xdr:nvSpPr>
        <xdr:cNvPr id="308" name="nuNumber: 322" hidden="1">
          <a:extLst>
            <a:ext uri="{FF2B5EF4-FFF2-40B4-BE49-F238E27FC236}">
              <a16:creationId xmlns:a16="http://schemas.microsoft.com/office/drawing/2014/main" id="{FEBF147B-C372-4535-B2D7-2C462998A6AA}"/>
            </a:ext>
          </a:extLst>
        </xdr:cNvPr>
        <xdr:cNvSpPr/>
      </xdr:nvSpPr>
      <xdr:spPr bwMode="auto">
        <a:xfrm>
          <a:off x="15135225" y="15359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72</xdr:row>
      <xdr:rowOff>119380</xdr:rowOff>
    </xdr:from>
    <xdr:to>
      <xdr:col>21</xdr:col>
      <xdr:colOff>63500</xdr:colOff>
      <xdr:row>73</xdr:row>
      <xdr:rowOff>0</xdr:rowOff>
    </xdr:to>
    <xdr:sp macro="" textlink="">
      <xdr:nvSpPr>
        <xdr:cNvPr id="309" name="nuNumber: 323" hidden="1">
          <a:extLst>
            <a:ext uri="{FF2B5EF4-FFF2-40B4-BE49-F238E27FC236}">
              <a16:creationId xmlns:a16="http://schemas.microsoft.com/office/drawing/2014/main" id="{C33140E1-8309-400E-8736-A651D2736CFE}"/>
            </a:ext>
          </a:extLst>
        </xdr:cNvPr>
        <xdr:cNvSpPr/>
      </xdr:nvSpPr>
      <xdr:spPr bwMode="auto">
        <a:xfrm>
          <a:off x="15849600" y="15359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73</xdr:row>
      <xdr:rowOff>119380</xdr:rowOff>
    </xdr:from>
    <xdr:to>
      <xdr:col>8</xdr:col>
      <xdr:colOff>63500</xdr:colOff>
      <xdr:row>74</xdr:row>
      <xdr:rowOff>0</xdr:rowOff>
    </xdr:to>
    <xdr:sp macro="" textlink="">
      <xdr:nvSpPr>
        <xdr:cNvPr id="310" name="nuNumber: 324" hidden="1">
          <a:extLst>
            <a:ext uri="{FF2B5EF4-FFF2-40B4-BE49-F238E27FC236}">
              <a16:creationId xmlns:a16="http://schemas.microsoft.com/office/drawing/2014/main" id="{0AA9E799-8087-4714-A4DC-FB9CF21BEC37}"/>
            </a:ext>
          </a:extLst>
        </xdr:cNvPr>
        <xdr:cNvSpPr/>
      </xdr:nvSpPr>
      <xdr:spPr bwMode="auto">
        <a:xfrm>
          <a:off x="5562600" y="15568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73</xdr:row>
      <xdr:rowOff>119380</xdr:rowOff>
    </xdr:from>
    <xdr:to>
      <xdr:col>9</xdr:col>
      <xdr:colOff>63500</xdr:colOff>
      <xdr:row>74</xdr:row>
      <xdr:rowOff>0</xdr:rowOff>
    </xdr:to>
    <xdr:sp macro="" textlink="">
      <xdr:nvSpPr>
        <xdr:cNvPr id="311" name="nuNumber: 325" hidden="1">
          <a:extLst>
            <a:ext uri="{FF2B5EF4-FFF2-40B4-BE49-F238E27FC236}">
              <a16:creationId xmlns:a16="http://schemas.microsoft.com/office/drawing/2014/main" id="{C9AA2C99-58FA-4438-9EA6-807876A25DC0}"/>
            </a:ext>
          </a:extLst>
        </xdr:cNvPr>
        <xdr:cNvSpPr/>
      </xdr:nvSpPr>
      <xdr:spPr bwMode="auto">
        <a:xfrm>
          <a:off x="6467475" y="15568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73</xdr:row>
      <xdr:rowOff>119380</xdr:rowOff>
    </xdr:from>
    <xdr:to>
      <xdr:col>9</xdr:col>
      <xdr:colOff>63500</xdr:colOff>
      <xdr:row>74</xdr:row>
      <xdr:rowOff>0</xdr:rowOff>
    </xdr:to>
    <xdr:sp macro="" textlink="">
      <xdr:nvSpPr>
        <xdr:cNvPr id="312" name="nuNumber: 326" hidden="1">
          <a:extLst>
            <a:ext uri="{FF2B5EF4-FFF2-40B4-BE49-F238E27FC236}">
              <a16:creationId xmlns:a16="http://schemas.microsoft.com/office/drawing/2014/main" id="{50C4193D-35BC-42EB-BD08-33EF208E6BF5}"/>
            </a:ext>
          </a:extLst>
        </xdr:cNvPr>
        <xdr:cNvSpPr/>
      </xdr:nvSpPr>
      <xdr:spPr bwMode="auto">
        <a:xfrm>
          <a:off x="6467475" y="15568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73</xdr:row>
      <xdr:rowOff>119380</xdr:rowOff>
    </xdr:from>
    <xdr:to>
      <xdr:col>10</xdr:col>
      <xdr:colOff>63500</xdr:colOff>
      <xdr:row>74</xdr:row>
      <xdr:rowOff>0</xdr:rowOff>
    </xdr:to>
    <xdr:sp macro="" textlink="">
      <xdr:nvSpPr>
        <xdr:cNvPr id="313" name="nuNumber: 327" hidden="1">
          <a:extLst>
            <a:ext uri="{FF2B5EF4-FFF2-40B4-BE49-F238E27FC236}">
              <a16:creationId xmlns:a16="http://schemas.microsoft.com/office/drawing/2014/main" id="{F524D895-73D2-40ED-BCEC-3F1ED31DBE1E}"/>
            </a:ext>
          </a:extLst>
        </xdr:cNvPr>
        <xdr:cNvSpPr/>
      </xdr:nvSpPr>
      <xdr:spPr bwMode="auto">
        <a:xfrm>
          <a:off x="7315200" y="15568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73</xdr:row>
      <xdr:rowOff>119380</xdr:rowOff>
    </xdr:from>
    <xdr:to>
      <xdr:col>11</xdr:col>
      <xdr:colOff>63500</xdr:colOff>
      <xdr:row>74</xdr:row>
      <xdr:rowOff>0</xdr:rowOff>
    </xdr:to>
    <xdr:sp macro="" textlink="">
      <xdr:nvSpPr>
        <xdr:cNvPr id="314" name="nuNumber: 328" hidden="1">
          <a:extLst>
            <a:ext uri="{FF2B5EF4-FFF2-40B4-BE49-F238E27FC236}">
              <a16:creationId xmlns:a16="http://schemas.microsoft.com/office/drawing/2014/main" id="{90B5B2E9-F132-42CA-AA78-2704D54B89A0}"/>
            </a:ext>
          </a:extLst>
        </xdr:cNvPr>
        <xdr:cNvSpPr/>
      </xdr:nvSpPr>
      <xdr:spPr bwMode="auto">
        <a:xfrm>
          <a:off x="8105775" y="15568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73</xdr:row>
      <xdr:rowOff>119380</xdr:rowOff>
    </xdr:from>
    <xdr:to>
      <xdr:col>12</xdr:col>
      <xdr:colOff>63500</xdr:colOff>
      <xdr:row>74</xdr:row>
      <xdr:rowOff>0</xdr:rowOff>
    </xdr:to>
    <xdr:sp macro="" textlink="">
      <xdr:nvSpPr>
        <xdr:cNvPr id="315" name="nuNumber: 329" hidden="1">
          <a:extLst>
            <a:ext uri="{FF2B5EF4-FFF2-40B4-BE49-F238E27FC236}">
              <a16:creationId xmlns:a16="http://schemas.microsoft.com/office/drawing/2014/main" id="{3779ACD3-8955-45C3-833D-BCAA8902728D}"/>
            </a:ext>
          </a:extLst>
        </xdr:cNvPr>
        <xdr:cNvSpPr/>
      </xdr:nvSpPr>
      <xdr:spPr bwMode="auto">
        <a:xfrm>
          <a:off x="8972550" y="15568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73</xdr:row>
      <xdr:rowOff>119380</xdr:rowOff>
    </xdr:from>
    <xdr:to>
      <xdr:col>13</xdr:col>
      <xdr:colOff>63500</xdr:colOff>
      <xdr:row>74</xdr:row>
      <xdr:rowOff>0</xdr:rowOff>
    </xdr:to>
    <xdr:sp macro="" textlink="">
      <xdr:nvSpPr>
        <xdr:cNvPr id="316" name="nuNumber: 330" hidden="1">
          <a:extLst>
            <a:ext uri="{FF2B5EF4-FFF2-40B4-BE49-F238E27FC236}">
              <a16:creationId xmlns:a16="http://schemas.microsoft.com/office/drawing/2014/main" id="{D73087A9-9AC6-46A5-9AE8-A249156927BB}"/>
            </a:ext>
          </a:extLst>
        </xdr:cNvPr>
        <xdr:cNvSpPr/>
      </xdr:nvSpPr>
      <xdr:spPr bwMode="auto">
        <a:xfrm>
          <a:off x="9753600" y="15568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73</xdr:row>
      <xdr:rowOff>119380</xdr:rowOff>
    </xdr:from>
    <xdr:to>
      <xdr:col>14</xdr:col>
      <xdr:colOff>63500</xdr:colOff>
      <xdr:row>74</xdr:row>
      <xdr:rowOff>0</xdr:rowOff>
    </xdr:to>
    <xdr:sp macro="" textlink="">
      <xdr:nvSpPr>
        <xdr:cNvPr id="317" name="nuNumber: 331" hidden="1">
          <a:extLst>
            <a:ext uri="{FF2B5EF4-FFF2-40B4-BE49-F238E27FC236}">
              <a16:creationId xmlns:a16="http://schemas.microsoft.com/office/drawing/2014/main" id="{8268DB7E-0969-4761-922D-B305BD2A4F3D}"/>
            </a:ext>
          </a:extLst>
        </xdr:cNvPr>
        <xdr:cNvSpPr/>
      </xdr:nvSpPr>
      <xdr:spPr bwMode="auto">
        <a:xfrm>
          <a:off x="10515600" y="15568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73</xdr:row>
      <xdr:rowOff>119380</xdr:rowOff>
    </xdr:from>
    <xdr:to>
      <xdr:col>15</xdr:col>
      <xdr:colOff>63500</xdr:colOff>
      <xdr:row>74</xdr:row>
      <xdr:rowOff>0</xdr:rowOff>
    </xdr:to>
    <xdr:sp macro="" textlink="">
      <xdr:nvSpPr>
        <xdr:cNvPr id="318" name="nuNumber: 332" hidden="1">
          <a:extLst>
            <a:ext uri="{FF2B5EF4-FFF2-40B4-BE49-F238E27FC236}">
              <a16:creationId xmlns:a16="http://schemas.microsoft.com/office/drawing/2014/main" id="{F1764971-2857-4114-A4C9-FB082F2CE17E}"/>
            </a:ext>
          </a:extLst>
        </xdr:cNvPr>
        <xdr:cNvSpPr/>
      </xdr:nvSpPr>
      <xdr:spPr bwMode="auto">
        <a:xfrm>
          <a:off x="11325225" y="15568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73</xdr:row>
      <xdr:rowOff>119380</xdr:rowOff>
    </xdr:from>
    <xdr:to>
      <xdr:col>16</xdr:col>
      <xdr:colOff>63500</xdr:colOff>
      <xdr:row>74</xdr:row>
      <xdr:rowOff>0</xdr:rowOff>
    </xdr:to>
    <xdr:sp macro="" textlink="">
      <xdr:nvSpPr>
        <xdr:cNvPr id="319" name="nuNumber: 333" hidden="1">
          <a:extLst>
            <a:ext uri="{FF2B5EF4-FFF2-40B4-BE49-F238E27FC236}">
              <a16:creationId xmlns:a16="http://schemas.microsoft.com/office/drawing/2014/main" id="{6F31800C-5A96-414C-9B84-E93DF06CFF82}"/>
            </a:ext>
          </a:extLst>
        </xdr:cNvPr>
        <xdr:cNvSpPr/>
      </xdr:nvSpPr>
      <xdr:spPr bwMode="auto">
        <a:xfrm>
          <a:off x="12106275" y="15568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73</xdr:row>
      <xdr:rowOff>119380</xdr:rowOff>
    </xdr:from>
    <xdr:to>
      <xdr:col>17</xdr:col>
      <xdr:colOff>63500</xdr:colOff>
      <xdr:row>74</xdr:row>
      <xdr:rowOff>0</xdr:rowOff>
    </xdr:to>
    <xdr:sp macro="" textlink="">
      <xdr:nvSpPr>
        <xdr:cNvPr id="320" name="nuNumber: 334" hidden="1">
          <a:extLst>
            <a:ext uri="{FF2B5EF4-FFF2-40B4-BE49-F238E27FC236}">
              <a16:creationId xmlns:a16="http://schemas.microsoft.com/office/drawing/2014/main" id="{6E70D6E2-887A-4B38-A14C-B629E59636E4}"/>
            </a:ext>
          </a:extLst>
        </xdr:cNvPr>
        <xdr:cNvSpPr/>
      </xdr:nvSpPr>
      <xdr:spPr bwMode="auto">
        <a:xfrm>
          <a:off x="12887325" y="15568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73</xdr:row>
      <xdr:rowOff>119380</xdr:rowOff>
    </xdr:from>
    <xdr:to>
      <xdr:col>18</xdr:col>
      <xdr:colOff>63499</xdr:colOff>
      <xdr:row>74</xdr:row>
      <xdr:rowOff>0</xdr:rowOff>
    </xdr:to>
    <xdr:sp macro="" textlink="">
      <xdr:nvSpPr>
        <xdr:cNvPr id="321" name="nuNumber: 335" hidden="1">
          <a:extLst>
            <a:ext uri="{FF2B5EF4-FFF2-40B4-BE49-F238E27FC236}">
              <a16:creationId xmlns:a16="http://schemas.microsoft.com/office/drawing/2014/main" id="{F292703D-AE37-4327-B4D3-0CDD2B609975}"/>
            </a:ext>
          </a:extLst>
        </xdr:cNvPr>
        <xdr:cNvSpPr/>
      </xdr:nvSpPr>
      <xdr:spPr bwMode="auto">
        <a:xfrm>
          <a:off x="13624559" y="1556893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73</xdr:row>
      <xdr:rowOff>119380</xdr:rowOff>
    </xdr:from>
    <xdr:to>
      <xdr:col>19</xdr:col>
      <xdr:colOff>63500</xdr:colOff>
      <xdr:row>74</xdr:row>
      <xdr:rowOff>0</xdr:rowOff>
    </xdr:to>
    <xdr:sp macro="" textlink="">
      <xdr:nvSpPr>
        <xdr:cNvPr id="322" name="nuNumber: 336" hidden="1">
          <a:extLst>
            <a:ext uri="{FF2B5EF4-FFF2-40B4-BE49-F238E27FC236}">
              <a16:creationId xmlns:a16="http://schemas.microsoft.com/office/drawing/2014/main" id="{F228164C-5E5B-4D59-B109-2EEAB8E2413A}"/>
            </a:ext>
          </a:extLst>
        </xdr:cNvPr>
        <xdr:cNvSpPr/>
      </xdr:nvSpPr>
      <xdr:spPr bwMode="auto">
        <a:xfrm>
          <a:off x="14382750" y="15568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73</xdr:row>
      <xdr:rowOff>119380</xdr:rowOff>
    </xdr:from>
    <xdr:to>
      <xdr:col>20</xdr:col>
      <xdr:colOff>63500</xdr:colOff>
      <xdr:row>74</xdr:row>
      <xdr:rowOff>0</xdr:rowOff>
    </xdr:to>
    <xdr:sp macro="" textlink="">
      <xdr:nvSpPr>
        <xdr:cNvPr id="323" name="nuNumber: 337" hidden="1">
          <a:extLst>
            <a:ext uri="{FF2B5EF4-FFF2-40B4-BE49-F238E27FC236}">
              <a16:creationId xmlns:a16="http://schemas.microsoft.com/office/drawing/2014/main" id="{A2E1355C-76CE-44FD-A9C8-5A702DE5BB9F}"/>
            </a:ext>
          </a:extLst>
        </xdr:cNvPr>
        <xdr:cNvSpPr/>
      </xdr:nvSpPr>
      <xdr:spPr bwMode="auto">
        <a:xfrm>
          <a:off x="15135225" y="15568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73</xdr:row>
      <xdr:rowOff>119380</xdr:rowOff>
    </xdr:from>
    <xdr:to>
      <xdr:col>21</xdr:col>
      <xdr:colOff>63500</xdr:colOff>
      <xdr:row>74</xdr:row>
      <xdr:rowOff>0</xdr:rowOff>
    </xdr:to>
    <xdr:sp macro="" textlink="">
      <xdr:nvSpPr>
        <xdr:cNvPr id="324" name="nuNumber: 338" hidden="1">
          <a:extLst>
            <a:ext uri="{FF2B5EF4-FFF2-40B4-BE49-F238E27FC236}">
              <a16:creationId xmlns:a16="http://schemas.microsoft.com/office/drawing/2014/main" id="{EF4D5845-0B14-4373-8D20-2A313D9A410F}"/>
            </a:ext>
          </a:extLst>
        </xdr:cNvPr>
        <xdr:cNvSpPr/>
      </xdr:nvSpPr>
      <xdr:spPr bwMode="auto">
        <a:xfrm>
          <a:off x="15849600" y="15568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74</xdr:row>
      <xdr:rowOff>119380</xdr:rowOff>
    </xdr:from>
    <xdr:to>
      <xdr:col>8</xdr:col>
      <xdr:colOff>63500</xdr:colOff>
      <xdr:row>75</xdr:row>
      <xdr:rowOff>0</xdr:rowOff>
    </xdr:to>
    <xdr:sp macro="" textlink="">
      <xdr:nvSpPr>
        <xdr:cNvPr id="325" name="nuNumber: 339" hidden="1">
          <a:extLst>
            <a:ext uri="{FF2B5EF4-FFF2-40B4-BE49-F238E27FC236}">
              <a16:creationId xmlns:a16="http://schemas.microsoft.com/office/drawing/2014/main" id="{985B3D7B-4818-4151-BD49-CBED21ED9933}"/>
            </a:ext>
          </a:extLst>
        </xdr:cNvPr>
        <xdr:cNvSpPr/>
      </xdr:nvSpPr>
      <xdr:spPr bwMode="auto">
        <a:xfrm>
          <a:off x="5562600" y="15778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74</xdr:row>
      <xdr:rowOff>119380</xdr:rowOff>
    </xdr:from>
    <xdr:to>
      <xdr:col>9</xdr:col>
      <xdr:colOff>63500</xdr:colOff>
      <xdr:row>75</xdr:row>
      <xdr:rowOff>0</xdr:rowOff>
    </xdr:to>
    <xdr:sp macro="" textlink="">
      <xdr:nvSpPr>
        <xdr:cNvPr id="326" name="nuNumber: 340" hidden="1">
          <a:extLst>
            <a:ext uri="{FF2B5EF4-FFF2-40B4-BE49-F238E27FC236}">
              <a16:creationId xmlns:a16="http://schemas.microsoft.com/office/drawing/2014/main" id="{E4EF76BB-1794-4CF4-937C-67CB356DDD91}"/>
            </a:ext>
          </a:extLst>
        </xdr:cNvPr>
        <xdr:cNvSpPr/>
      </xdr:nvSpPr>
      <xdr:spPr bwMode="auto">
        <a:xfrm>
          <a:off x="6467475" y="15778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74</xdr:row>
      <xdr:rowOff>119380</xdr:rowOff>
    </xdr:from>
    <xdr:to>
      <xdr:col>9</xdr:col>
      <xdr:colOff>63500</xdr:colOff>
      <xdr:row>75</xdr:row>
      <xdr:rowOff>0</xdr:rowOff>
    </xdr:to>
    <xdr:sp macro="" textlink="">
      <xdr:nvSpPr>
        <xdr:cNvPr id="327" name="nuNumber: 341" hidden="1">
          <a:extLst>
            <a:ext uri="{FF2B5EF4-FFF2-40B4-BE49-F238E27FC236}">
              <a16:creationId xmlns:a16="http://schemas.microsoft.com/office/drawing/2014/main" id="{4EDCC087-7B5F-4471-913D-51B664B66C4C}"/>
            </a:ext>
          </a:extLst>
        </xdr:cNvPr>
        <xdr:cNvSpPr/>
      </xdr:nvSpPr>
      <xdr:spPr bwMode="auto">
        <a:xfrm>
          <a:off x="6467475" y="15778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74</xdr:row>
      <xdr:rowOff>119380</xdr:rowOff>
    </xdr:from>
    <xdr:to>
      <xdr:col>10</xdr:col>
      <xdr:colOff>63500</xdr:colOff>
      <xdr:row>75</xdr:row>
      <xdr:rowOff>0</xdr:rowOff>
    </xdr:to>
    <xdr:sp macro="" textlink="">
      <xdr:nvSpPr>
        <xdr:cNvPr id="328" name="nuNumber: 342" hidden="1">
          <a:extLst>
            <a:ext uri="{FF2B5EF4-FFF2-40B4-BE49-F238E27FC236}">
              <a16:creationId xmlns:a16="http://schemas.microsoft.com/office/drawing/2014/main" id="{62ECBDB2-2294-477A-A37F-69D97F27DEB1}"/>
            </a:ext>
          </a:extLst>
        </xdr:cNvPr>
        <xdr:cNvSpPr/>
      </xdr:nvSpPr>
      <xdr:spPr bwMode="auto">
        <a:xfrm>
          <a:off x="7315200" y="15778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74</xdr:row>
      <xdr:rowOff>119380</xdr:rowOff>
    </xdr:from>
    <xdr:to>
      <xdr:col>11</xdr:col>
      <xdr:colOff>63500</xdr:colOff>
      <xdr:row>75</xdr:row>
      <xdr:rowOff>0</xdr:rowOff>
    </xdr:to>
    <xdr:sp macro="" textlink="">
      <xdr:nvSpPr>
        <xdr:cNvPr id="329" name="nuNumber: 343" hidden="1">
          <a:extLst>
            <a:ext uri="{FF2B5EF4-FFF2-40B4-BE49-F238E27FC236}">
              <a16:creationId xmlns:a16="http://schemas.microsoft.com/office/drawing/2014/main" id="{EA1B3EA5-1DAC-4895-9754-F1858035D903}"/>
            </a:ext>
          </a:extLst>
        </xdr:cNvPr>
        <xdr:cNvSpPr/>
      </xdr:nvSpPr>
      <xdr:spPr bwMode="auto">
        <a:xfrm>
          <a:off x="8105775" y="15778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74</xdr:row>
      <xdr:rowOff>119380</xdr:rowOff>
    </xdr:from>
    <xdr:to>
      <xdr:col>12</xdr:col>
      <xdr:colOff>63500</xdr:colOff>
      <xdr:row>75</xdr:row>
      <xdr:rowOff>0</xdr:rowOff>
    </xdr:to>
    <xdr:sp macro="" textlink="">
      <xdr:nvSpPr>
        <xdr:cNvPr id="330" name="nuNumber: 344" hidden="1">
          <a:extLst>
            <a:ext uri="{FF2B5EF4-FFF2-40B4-BE49-F238E27FC236}">
              <a16:creationId xmlns:a16="http://schemas.microsoft.com/office/drawing/2014/main" id="{5586C539-1903-47DC-AECD-55575C9B1F87}"/>
            </a:ext>
          </a:extLst>
        </xdr:cNvPr>
        <xdr:cNvSpPr/>
      </xdr:nvSpPr>
      <xdr:spPr bwMode="auto">
        <a:xfrm>
          <a:off x="8972550" y="15778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74</xdr:row>
      <xdr:rowOff>119380</xdr:rowOff>
    </xdr:from>
    <xdr:to>
      <xdr:col>13</xdr:col>
      <xdr:colOff>63500</xdr:colOff>
      <xdr:row>75</xdr:row>
      <xdr:rowOff>0</xdr:rowOff>
    </xdr:to>
    <xdr:sp macro="" textlink="">
      <xdr:nvSpPr>
        <xdr:cNvPr id="331" name="nuNumber: 345" hidden="1">
          <a:extLst>
            <a:ext uri="{FF2B5EF4-FFF2-40B4-BE49-F238E27FC236}">
              <a16:creationId xmlns:a16="http://schemas.microsoft.com/office/drawing/2014/main" id="{BE7AE640-4276-4AD3-98D1-ADD67D4728C0}"/>
            </a:ext>
          </a:extLst>
        </xdr:cNvPr>
        <xdr:cNvSpPr/>
      </xdr:nvSpPr>
      <xdr:spPr bwMode="auto">
        <a:xfrm>
          <a:off x="9753600" y="15778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74</xdr:row>
      <xdr:rowOff>119380</xdr:rowOff>
    </xdr:from>
    <xdr:to>
      <xdr:col>14</xdr:col>
      <xdr:colOff>63500</xdr:colOff>
      <xdr:row>75</xdr:row>
      <xdr:rowOff>0</xdr:rowOff>
    </xdr:to>
    <xdr:sp macro="" textlink="">
      <xdr:nvSpPr>
        <xdr:cNvPr id="332" name="nuNumber: 346" hidden="1">
          <a:extLst>
            <a:ext uri="{FF2B5EF4-FFF2-40B4-BE49-F238E27FC236}">
              <a16:creationId xmlns:a16="http://schemas.microsoft.com/office/drawing/2014/main" id="{FA3231C6-C43C-4419-B740-F107469005FB}"/>
            </a:ext>
          </a:extLst>
        </xdr:cNvPr>
        <xdr:cNvSpPr/>
      </xdr:nvSpPr>
      <xdr:spPr bwMode="auto">
        <a:xfrm>
          <a:off x="10515600" y="15778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74</xdr:row>
      <xdr:rowOff>119380</xdr:rowOff>
    </xdr:from>
    <xdr:to>
      <xdr:col>15</xdr:col>
      <xdr:colOff>63500</xdr:colOff>
      <xdr:row>75</xdr:row>
      <xdr:rowOff>0</xdr:rowOff>
    </xdr:to>
    <xdr:sp macro="" textlink="">
      <xdr:nvSpPr>
        <xdr:cNvPr id="333" name="nuNumber: 347" hidden="1">
          <a:extLst>
            <a:ext uri="{FF2B5EF4-FFF2-40B4-BE49-F238E27FC236}">
              <a16:creationId xmlns:a16="http://schemas.microsoft.com/office/drawing/2014/main" id="{F1372B67-A8D1-4D7A-B15A-AA782BE412F9}"/>
            </a:ext>
          </a:extLst>
        </xdr:cNvPr>
        <xdr:cNvSpPr/>
      </xdr:nvSpPr>
      <xdr:spPr bwMode="auto">
        <a:xfrm>
          <a:off x="11325225" y="15778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74</xdr:row>
      <xdr:rowOff>119380</xdr:rowOff>
    </xdr:from>
    <xdr:to>
      <xdr:col>16</xdr:col>
      <xdr:colOff>63500</xdr:colOff>
      <xdr:row>75</xdr:row>
      <xdr:rowOff>0</xdr:rowOff>
    </xdr:to>
    <xdr:sp macro="" textlink="">
      <xdr:nvSpPr>
        <xdr:cNvPr id="334" name="nuNumber: 348" hidden="1">
          <a:extLst>
            <a:ext uri="{FF2B5EF4-FFF2-40B4-BE49-F238E27FC236}">
              <a16:creationId xmlns:a16="http://schemas.microsoft.com/office/drawing/2014/main" id="{C51BD463-D313-434E-8DC8-6F064FAB6EEE}"/>
            </a:ext>
          </a:extLst>
        </xdr:cNvPr>
        <xdr:cNvSpPr/>
      </xdr:nvSpPr>
      <xdr:spPr bwMode="auto">
        <a:xfrm>
          <a:off x="12106275" y="15778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74</xdr:row>
      <xdr:rowOff>119380</xdr:rowOff>
    </xdr:from>
    <xdr:to>
      <xdr:col>17</xdr:col>
      <xdr:colOff>63500</xdr:colOff>
      <xdr:row>75</xdr:row>
      <xdr:rowOff>0</xdr:rowOff>
    </xdr:to>
    <xdr:sp macro="" textlink="">
      <xdr:nvSpPr>
        <xdr:cNvPr id="335" name="nuNumber: 349" hidden="1">
          <a:extLst>
            <a:ext uri="{FF2B5EF4-FFF2-40B4-BE49-F238E27FC236}">
              <a16:creationId xmlns:a16="http://schemas.microsoft.com/office/drawing/2014/main" id="{94A7C7FE-794A-4444-943B-A7686E0E6F34}"/>
            </a:ext>
          </a:extLst>
        </xdr:cNvPr>
        <xdr:cNvSpPr/>
      </xdr:nvSpPr>
      <xdr:spPr bwMode="auto">
        <a:xfrm>
          <a:off x="12887325" y="15778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74</xdr:row>
      <xdr:rowOff>119380</xdr:rowOff>
    </xdr:from>
    <xdr:to>
      <xdr:col>18</xdr:col>
      <xdr:colOff>63499</xdr:colOff>
      <xdr:row>75</xdr:row>
      <xdr:rowOff>0</xdr:rowOff>
    </xdr:to>
    <xdr:sp macro="" textlink="">
      <xdr:nvSpPr>
        <xdr:cNvPr id="336" name="nuNumber: 350" hidden="1">
          <a:extLst>
            <a:ext uri="{FF2B5EF4-FFF2-40B4-BE49-F238E27FC236}">
              <a16:creationId xmlns:a16="http://schemas.microsoft.com/office/drawing/2014/main" id="{5C48618C-3986-484A-B758-9470AA97770E}"/>
            </a:ext>
          </a:extLst>
        </xdr:cNvPr>
        <xdr:cNvSpPr/>
      </xdr:nvSpPr>
      <xdr:spPr bwMode="auto">
        <a:xfrm>
          <a:off x="13624559" y="1577848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74</xdr:row>
      <xdr:rowOff>119380</xdr:rowOff>
    </xdr:from>
    <xdr:to>
      <xdr:col>19</xdr:col>
      <xdr:colOff>63500</xdr:colOff>
      <xdr:row>75</xdr:row>
      <xdr:rowOff>0</xdr:rowOff>
    </xdr:to>
    <xdr:sp macro="" textlink="">
      <xdr:nvSpPr>
        <xdr:cNvPr id="337" name="nuNumber: 351" hidden="1">
          <a:extLst>
            <a:ext uri="{FF2B5EF4-FFF2-40B4-BE49-F238E27FC236}">
              <a16:creationId xmlns:a16="http://schemas.microsoft.com/office/drawing/2014/main" id="{92211705-2444-4509-BE0D-D04A0FBB3428}"/>
            </a:ext>
          </a:extLst>
        </xdr:cNvPr>
        <xdr:cNvSpPr/>
      </xdr:nvSpPr>
      <xdr:spPr bwMode="auto">
        <a:xfrm>
          <a:off x="14382750" y="15778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74</xdr:row>
      <xdr:rowOff>119380</xdr:rowOff>
    </xdr:from>
    <xdr:to>
      <xdr:col>20</xdr:col>
      <xdr:colOff>63500</xdr:colOff>
      <xdr:row>75</xdr:row>
      <xdr:rowOff>0</xdr:rowOff>
    </xdr:to>
    <xdr:sp macro="" textlink="">
      <xdr:nvSpPr>
        <xdr:cNvPr id="338" name="nuNumber: 352" hidden="1">
          <a:extLst>
            <a:ext uri="{FF2B5EF4-FFF2-40B4-BE49-F238E27FC236}">
              <a16:creationId xmlns:a16="http://schemas.microsoft.com/office/drawing/2014/main" id="{1153804F-683F-4CFA-A9D0-4DDC30413A02}"/>
            </a:ext>
          </a:extLst>
        </xdr:cNvPr>
        <xdr:cNvSpPr/>
      </xdr:nvSpPr>
      <xdr:spPr bwMode="auto">
        <a:xfrm>
          <a:off x="15135225" y="15778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74</xdr:row>
      <xdr:rowOff>119380</xdr:rowOff>
    </xdr:from>
    <xdr:to>
      <xdr:col>21</xdr:col>
      <xdr:colOff>63500</xdr:colOff>
      <xdr:row>75</xdr:row>
      <xdr:rowOff>0</xdr:rowOff>
    </xdr:to>
    <xdr:sp macro="" textlink="">
      <xdr:nvSpPr>
        <xdr:cNvPr id="339" name="nuNumber: 353" hidden="1">
          <a:extLst>
            <a:ext uri="{FF2B5EF4-FFF2-40B4-BE49-F238E27FC236}">
              <a16:creationId xmlns:a16="http://schemas.microsoft.com/office/drawing/2014/main" id="{0795808D-B061-471C-9963-7F5A1D8DD6FB}"/>
            </a:ext>
          </a:extLst>
        </xdr:cNvPr>
        <xdr:cNvSpPr/>
      </xdr:nvSpPr>
      <xdr:spPr bwMode="auto">
        <a:xfrm>
          <a:off x="15849600" y="15778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75</xdr:row>
      <xdr:rowOff>119381</xdr:rowOff>
    </xdr:from>
    <xdr:to>
      <xdr:col>8</xdr:col>
      <xdr:colOff>63500</xdr:colOff>
      <xdr:row>76</xdr:row>
      <xdr:rowOff>1</xdr:rowOff>
    </xdr:to>
    <xdr:sp macro="" textlink="">
      <xdr:nvSpPr>
        <xdr:cNvPr id="340" name="nuNumber: 354" hidden="1">
          <a:extLst>
            <a:ext uri="{FF2B5EF4-FFF2-40B4-BE49-F238E27FC236}">
              <a16:creationId xmlns:a16="http://schemas.microsoft.com/office/drawing/2014/main" id="{3F466087-DEA1-4162-B36C-1D4CDC1D9E8B}"/>
            </a:ext>
          </a:extLst>
        </xdr:cNvPr>
        <xdr:cNvSpPr/>
      </xdr:nvSpPr>
      <xdr:spPr bwMode="auto">
        <a:xfrm>
          <a:off x="5562600" y="1598803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75</xdr:row>
      <xdr:rowOff>119381</xdr:rowOff>
    </xdr:from>
    <xdr:to>
      <xdr:col>9</xdr:col>
      <xdr:colOff>63500</xdr:colOff>
      <xdr:row>76</xdr:row>
      <xdr:rowOff>1</xdr:rowOff>
    </xdr:to>
    <xdr:sp macro="" textlink="">
      <xdr:nvSpPr>
        <xdr:cNvPr id="341" name="nuNumber: 355" hidden="1">
          <a:extLst>
            <a:ext uri="{FF2B5EF4-FFF2-40B4-BE49-F238E27FC236}">
              <a16:creationId xmlns:a16="http://schemas.microsoft.com/office/drawing/2014/main" id="{92F19121-351C-4AB2-A3B2-D872634C7950}"/>
            </a:ext>
          </a:extLst>
        </xdr:cNvPr>
        <xdr:cNvSpPr/>
      </xdr:nvSpPr>
      <xdr:spPr bwMode="auto">
        <a:xfrm>
          <a:off x="6467475" y="1598803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75</xdr:row>
      <xdr:rowOff>119381</xdr:rowOff>
    </xdr:from>
    <xdr:to>
      <xdr:col>9</xdr:col>
      <xdr:colOff>63500</xdr:colOff>
      <xdr:row>76</xdr:row>
      <xdr:rowOff>1</xdr:rowOff>
    </xdr:to>
    <xdr:sp macro="" textlink="">
      <xdr:nvSpPr>
        <xdr:cNvPr id="342" name="nuNumber: 356" hidden="1">
          <a:extLst>
            <a:ext uri="{FF2B5EF4-FFF2-40B4-BE49-F238E27FC236}">
              <a16:creationId xmlns:a16="http://schemas.microsoft.com/office/drawing/2014/main" id="{CD88369C-C4D9-4D1F-AFBA-0539DFD96B6A}"/>
            </a:ext>
          </a:extLst>
        </xdr:cNvPr>
        <xdr:cNvSpPr/>
      </xdr:nvSpPr>
      <xdr:spPr bwMode="auto">
        <a:xfrm>
          <a:off x="6467475" y="1598803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75</xdr:row>
      <xdr:rowOff>119381</xdr:rowOff>
    </xdr:from>
    <xdr:to>
      <xdr:col>10</xdr:col>
      <xdr:colOff>63500</xdr:colOff>
      <xdr:row>76</xdr:row>
      <xdr:rowOff>1</xdr:rowOff>
    </xdr:to>
    <xdr:sp macro="" textlink="">
      <xdr:nvSpPr>
        <xdr:cNvPr id="343" name="nuNumber: 357" hidden="1">
          <a:extLst>
            <a:ext uri="{FF2B5EF4-FFF2-40B4-BE49-F238E27FC236}">
              <a16:creationId xmlns:a16="http://schemas.microsoft.com/office/drawing/2014/main" id="{147DA8E1-8C0D-4C47-A583-888DFD393C46}"/>
            </a:ext>
          </a:extLst>
        </xdr:cNvPr>
        <xdr:cNvSpPr/>
      </xdr:nvSpPr>
      <xdr:spPr bwMode="auto">
        <a:xfrm>
          <a:off x="7315200" y="1598803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75</xdr:row>
      <xdr:rowOff>119381</xdr:rowOff>
    </xdr:from>
    <xdr:to>
      <xdr:col>11</xdr:col>
      <xdr:colOff>63500</xdr:colOff>
      <xdr:row>76</xdr:row>
      <xdr:rowOff>1</xdr:rowOff>
    </xdr:to>
    <xdr:sp macro="" textlink="">
      <xdr:nvSpPr>
        <xdr:cNvPr id="344" name="nuNumber: 358" hidden="1">
          <a:extLst>
            <a:ext uri="{FF2B5EF4-FFF2-40B4-BE49-F238E27FC236}">
              <a16:creationId xmlns:a16="http://schemas.microsoft.com/office/drawing/2014/main" id="{9A33CE73-C0AC-4C04-873A-3DDD67F8BA74}"/>
            </a:ext>
          </a:extLst>
        </xdr:cNvPr>
        <xdr:cNvSpPr/>
      </xdr:nvSpPr>
      <xdr:spPr bwMode="auto">
        <a:xfrm>
          <a:off x="8105775" y="1598803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75</xdr:row>
      <xdr:rowOff>119381</xdr:rowOff>
    </xdr:from>
    <xdr:to>
      <xdr:col>12</xdr:col>
      <xdr:colOff>63500</xdr:colOff>
      <xdr:row>76</xdr:row>
      <xdr:rowOff>1</xdr:rowOff>
    </xdr:to>
    <xdr:sp macro="" textlink="">
      <xdr:nvSpPr>
        <xdr:cNvPr id="345" name="nuNumber: 359" hidden="1">
          <a:extLst>
            <a:ext uri="{FF2B5EF4-FFF2-40B4-BE49-F238E27FC236}">
              <a16:creationId xmlns:a16="http://schemas.microsoft.com/office/drawing/2014/main" id="{840C70C0-6B9A-4296-90FD-D54E1AFC2943}"/>
            </a:ext>
          </a:extLst>
        </xdr:cNvPr>
        <xdr:cNvSpPr/>
      </xdr:nvSpPr>
      <xdr:spPr bwMode="auto">
        <a:xfrm>
          <a:off x="8972550" y="1598803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75</xdr:row>
      <xdr:rowOff>119381</xdr:rowOff>
    </xdr:from>
    <xdr:to>
      <xdr:col>13</xdr:col>
      <xdr:colOff>63500</xdr:colOff>
      <xdr:row>76</xdr:row>
      <xdr:rowOff>1</xdr:rowOff>
    </xdr:to>
    <xdr:sp macro="" textlink="">
      <xdr:nvSpPr>
        <xdr:cNvPr id="346" name="nuNumber: 360" hidden="1">
          <a:extLst>
            <a:ext uri="{FF2B5EF4-FFF2-40B4-BE49-F238E27FC236}">
              <a16:creationId xmlns:a16="http://schemas.microsoft.com/office/drawing/2014/main" id="{360F0431-D8A6-4220-A4F7-C302D1202342}"/>
            </a:ext>
          </a:extLst>
        </xdr:cNvPr>
        <xdr:cNvSpPr/>
      </xdr:nvSpPr>
      <xdr:spPr bwMode="auto">
        <a:xfrm>
          <a:off x="9753600" y="1598803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75</xdr:row>
      <xdr:rowOff>119381</xdr:rowOff>
    </xdr:from>
    <xdr:to>
      <xdr:col>14</xdr:col>
      <xdr:colOff>63500</xdr:colOff>
      <xdr:row>76</xdr:row>
      <xdr:rowOff>1</xdr:rowOff>
    </xdr:to>
    <xdr:sp macro="" textlink="">
      <xdr:nvSpPr>
        <xdr:cNvPr id="347" name="nuNumber: 361" hidden="1">
          <a:extLst>
            <a:ext uri="{FF2B5EF4-FFF2-40B4-BE49-F238E27FC236}">
              <a16:creationId xmlns:a16="http://schemas.microsoft.com/office/drawing/2014/main" id="{4FCA9C7E-576A-4610-95B2-0DC6044EEB83}"/>
            </a:ext>
          </a:extLst>
        </xdr:cNvPr>
        <xdr:cNvSpPr/>
      </xdr:nvSpPr>
      <xdr:spPr bwMode="auto">
        <a:xfrm>
          <a:off x="10515600" y="1598803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75</xdr:row>
      <xdr:rowOff>119381</xdr:rowOff>
    </xdr:from>
    <xdr:to>
      <xdr:col>15</xdr:col>
      <xdr:colOff>63500</xdr:colOff>
      <xdr:row>76</xdr:row>
      <xdr:rowOff>1</xdr:rowOff>
    </xdr:to>
    <xdr:sp macro="" textlink="">
      <xdr:nvSpPr>
        <xdr:cNvPr id="348" name="nuNumber: 362" hidden="1">
          <a:extLst>
            <a:ext uri="{FF2B5EF4-FFF2-40B4-BE49-F238E27FC236}">
              <a16:creationId xmlns:a16="http://schemas.microsoft.com/office/drawing/2014/main" id="{A6D851CD-FD04-4302-8FF7-86651802A8A8}"/>
            </a:ext>
          </a:extLst>
        </xdr:cNvPr>
        <xdr:cNvSpPr/>
      </xdr:nvSpPr>
      <xdr:spPr bwMode="auto">
        <a:xfrm>
          <a:off x="11325225" y="1598803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75</xdr:row>
      <xdr:rowOff>119381</xdr:rowOff>
    </xdr:from>
    <xdr:to>
      <xdr:col>16</xdr:col>
      <xdr:colOff>63500</xdr:colOff>
      <xdr:row>76</xdr:row>
      <xdr:rowOff>1</xdr:rowOff>
    </xdr:to>
    <xdr:sp macro="" textlink="">
      <xdr:nvSpPr>
        <xdr:cNvPr id="349" name="nuNumber: 363" hidden="1">
          <a:extLst>
            <a:ext uri="{FF2B5EF4-FFF2-40B4-BE49-F238E27FC236}">
              <a16:creationId xmlns:a16="http://schemas.microsoft.com/office/drawing/2014/main" id="{7FFB828C-DB8B-4458-B811-240643092EB4}"/>
            </a:ext>
          </a:extLst>
        </xdr:cNvPr>
        <xdr:cNvSpPr/>
      </xdr:nvSpPr>
      <xdr:spPr bwMode="auto">
        <a:xfrm>
          <a:off x="12106275" y="1598803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75</xdr:row>
      <xdr:rowOff>119381</xdr:rowOff>
    </xdr:from>
    <xdr:to>
      <xdr:col>17</xdr:col>
      <xdr:colOff>63500</xdr:colOff>
      <xdr:row>76</xdr:row>
      <xdr:rowOff>1</xdr:rowOff>
    </xdr:to>
    <xdr:sp macro="" textlink="">
      <xdr:nvSpPr>
        <xdr:cNvPr id="350" name="nuNumber: 364" hidden="1">
          <a:extLst>
            <a:ext uri="{FF2B5EF4-FFF2-40B4-BE49-F238E27FC236}">
              <a16:creationId xmlns:a16="http://schemas.microsoft.com/office/drawing/2014/main" id="{A250FC3E-CB32-495E-8359-21B082ECDDA4}"/>
            </a:ext>
          </a:extLst>
        </xdr:cNvPr>
        <xdr:cNvSpPr/>
      </xdr:nvSpPr>
      <xdr:spPr bwMode="auto">
        <a:xfrm>
          <a:off x="12887325" y="1598803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75</xdr:row>
      <xdr:rowOff>119381</xdr:rowOff>
    </xdr:from>
    <xdr:to>
      <xdr:col>18</xdr:col>
      <xdr:colOff>63499</xdr:colOff>
      <xdr:row>76</xdr:row>
      <xdr:rowOff>1</xdr:rowOff>
    </xdr:to>
    <xdr:sp macro="" textlink="">
      <xdr:nvSpPr>
        <xdr:cNvPr id="351" name="nuNumber: 365" hidden="1">
          <a:extLst>
            <a:ext uri="{FF2B5EF4-FFF2-40B4-BE49-F238E27FC236}">
              <a16:creationId xmlns:a16="http://schemas.microsoft.com/office/drawing/2014/main" id="{E3CACA67-D1EE-4296-B87A-36B3717B3D47}"/>
            </a:ext>
          </a:extLst>
        </xdr:cNvPr>
        <xdr:cNvSpPr/>
      </xdr:nvSpPr>
      <xdr:spPr bwMode="auto">
        <a:xfrm>
          <a:off x="13624559" y="15988031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75</xdr:row>
      <xdr:rowOff>119381</xdr:rowOff>
    </xdr:from>
    <xdr:to>
      <xdr:col>19</xdr:col>
      <xdr:colOff>63500</xdr:colOff>
      <xdr:row>76</xdr:row>
      <xdr:rowOff>1</xdr:rowOff>
    </xdr:to>
    <xdr:sp macro="" textlink="">
      <xdr:nvSpPr>
        <xdr:cNvPr id="352" name="nuNumber: 366" hidden="1">
          <a:extLst>
            <a:ext uri="{FF2B5EF4-FFF2-40B4-BE49-F238E27FC236}">
              <a16:creationId xmlns:a16="http://schemas.microsoft.com/office/drawing/2014/main" id="{5E6AC763-2803-4AA0-B4D4-FB476918C7F4}"/>
            </a:ext>
          </a:extLst>
        </xdr:cNvPr>
        <xdr:cNvSpPr/>
      </xdr:nvSpPr>
      <xdr:spPr bwMode="auto">
        <a:xfrm>
          <a:off x="14382750" y="1598803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75</xdr:row>
      <xdr:rowOff>119381</xdr:rowOff>
    </xdr:from>
    <xdr:to>
      <xdr:col>20</xdr:col>
      <xdr:colOff>63500</xdr:colOff>
      <xdr:row>76</xdr:row>
      <xdr:rowOff>1</xdr:rowOff>
    </xdr:to>
    <xdr:sp macro="" textlink="">
      <xdr:nvSpPr>
        <xdr:cNvPr id="353" name="nuNumber: 367" hidden="1">
          <a:extLst>
            <a:ext uri="{FF2B5EF4-FFF2-40B4-BE49-F238E27FC236}">
              <a16:creationId xmlns:a16="http://schemas.microsoft.com/office/drawing/2014/main" id="{F6DEDA12-395F-4864-B3C7-F1D4C39175CC}"/>
            </a:ext>
          </a:extLst>
        </xdr:cNvPr>
        <xdr:cNvSpPr/>
      </xdr:nvSpPr>
      <xdr:spPr bwMode="auto">
        <a:xfrm>
          <a:off x="15135225" y="1598803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75</xdr:row>
      <xdr:rowOff>119381</xdr:rowOff>
    </xdr:from>
    <xdr:to>
      <xdr:col>21</xdr:col>
      <xdr:colOff>63500</xdr:colOff>
      <xdr:row>76</xdr:row>
      <xdr:rowOff>1</xdr:rowOff>
    </xdr:to>
    <xdr:sp macro="" textlink="">
      <xdr:nvSpPr>
        <xdr:cNvPr id="354" name="nuNumber: 368" hidden="1">
          <a:extLst>
            <a:ext uri="{FF2B5EF4-FFF2-40B4-BE49-F238E27FC236}">
              <a16:creationId xmlns:a16="http://schemas.microsoft.com/office/drawing/2014/main" id="{1CAAC784-3A1A-4AB4-9CBF-A40B0FCBE545}"/>
            </a:ext>
          </a:extLst>
        </xdr:cNvPr>
        <xdr:cNvSpPr/>
      </xdr:nvSpPr>
      <xdr:spPr bwMode="auto">
        <a:xfrm>
          <a:off x="15849600" y="1598803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76</xdr:row>
      <xdr:rowOff>119379</xdr:rowOff>
    </xdr:from>
    <xdr:to>
      <xdr:col>8</xdr:col>
      <xdr:colOff>63500</xdr:colOff>
      <xdr:row>76</xdr:row>
      <xdr:rowOff>182879</xdr:rowOff>
    </xdr:to>
    <xdr:sp macro="" textlink="">
      <xdr:nvSpPr>
        <xdr:cNvPr id="355" name="nuNumber: 369" hidden="1">
          <a:extLst>
            <a:ext uri="{FF2B5EF4-FFF2-40B4-BE49-F238E27FC236}">
              <a16:creationId xmlns:a16="http://schemas.microsoft.com/office/drawing/2014/main" id="{611ADB17-2FB9-4CF2-B04B-D774250ACBF1}"/>
            </a:ext>
          </a:extLst>
        </xdr:cNvPr>
        <xdr:cNvSpPr/>
      </xdr:nvSpPr>
      <xdr:spPr bwMode="auto">
        <a:xfrm>
          <a:off x="5562600" y="161975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76</xdr:row>
      <xdr:rowOff>119379</xdr:rowOff>
    </xdr:from>
    <xdr:to>
      <xdr:col>9</xdr:col>
      <xdr:colOff>63500</xdr:colOff>
      <xdr:row>76</xdr:row>
      <xdr:rowOff>182879</xdr:rowOff>
    </xdr:to>
    <xdr:sp macro="" textlink="">
      <xdr:nvSpPr>
        <xdr:cNvPr id="356" name="nuNumber: 370" hidden="1">
          <a:extLst>
            <a:ext uri="{FF2B5EF4-FFF2-40B4-BE49-F238E27FC236}">
              <a16:creationId xmlns:a16="http://schemas.microsoft.com/office/drawing/2014/main" id="{E7B1F241-8E33-4596-9BBD-1C39412027B2}"/>
            </a:ext>
          </a:extLst>
        </xdr:cNvPr>
        <xdr:cNvSpPr/>
      </xdr:nvSpPr>
      <xdr:spPr bwMode="auto">
        <a:xfrm>
          <a:off x="6467475" y="161975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76</xdr:row>
      <xdr:rowOff>119379</xdr:rowOff>
    </xdr:from>
    <xdr:to>
      <xdr:col>9</xdr:col>
      <xdr:colOff>63500</xdr:colOff>
      <xdr:row>76</xdr:row>
      <xdr:rowOff>182879</xdr:rowOff>
    </xdr:to>
    <xdr:sp macro="" textlink="">
      <xdr:nvSpPr>
        <xdr:cNvPr id="357" name="nuNumber: 371" hidden="1">
          <a:extLst>
            <a:ext uri="{FF2B5EF4-FFF2-40B4-BE49-F238E27FC236}">
              <a16:creationId xmlns:a16="http://schemas.microsoft.com/office/drawing/2014/main" id="{1C081005-D335-4090-8FC9-7CBB7D7BBFD7}"/>
            </a:ext>
          </a:extLst>
        </xdr:cNvPr>
        <xdr:cNvSpPr/>
      </xdr:nvSpPr>
      <xdr:spPr bwMode="auto">
        <a:xfrm>
          <a:off x="6467475" y="161975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76</xdr:row>
      <xdr:rowOff>119379</xdr:rowOff>
    </xdr:from>
    <xdr:to>
      <xdr:col>10</xdr:col>
      <xdr:colOff>63500</xdr:colOff>
      <xdr:row>76</xdr:row>
      <xdr:rowOff>182879</xdr:rowOff>
    </xdr:to>
    <xdr:sp macro="" textlink="">
      <xdr:nvSpPr>
        <xdr:cNvPr id="358" name="nuNumber: 372" hidden="1">
          <a:extLst>
            <a:ext uri="{FF2B5EF4-FFF2-40B4-BE49-F238E27FC236}">
              <a16:creationId xmlns:a16="http://schemas.microsoft.com/office/drawing/2014/main" id="{F724F58F-8F79-46D2-8D7A-BC8B64AFAEDE}"/>
            </a:ext>
          </a:extLst>
        </xdr:cNvPr>
        <xdr:cNvSpPr/>
      </xdr:nvSpPr>
      <xdr:spPr bwMode="auto">
        <a:xfrm>
          <a:off x="7315200" y="161975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76</xdr:row>
      <xdr:rowOff>119379</xdr:rowOff>
    </xdr:from>
    <xdr:to>
      <xdr:col>11</xdr:col>
      <xdr:colOff>63500</xdr:colOff>
      <xdr:row>76</xdr:row>
      <xdr:rowOff>182879</xdr:rowOff>
    </xdr:to>
    <xdr:sp macro="" textlink="">
      <xdr:nvSpPr>
        <xdr:cNvPr id="359" name="nuNumber: 373" hidden="1">
          <a:extLst>
            <a:ext uri="{FF2B5EF4-FFF2-40B4-BE49-F238E27FC236}">
              <a16:creationId xmlns:a16="http://schemas.microsoft.com/office/drawing/2014/main" id="{2C7CDB09-498C-4F90-AFF7-707D767D7625}"/>
            </a:ext>
          </a:extLst>
        </xdr:cNvPr>
        <xdr:cNvSpPr/>
      </xdr:nvSpPr>
      <xdr:spPr bwMode="auto">
        <a:xfrm>
          <a:off x="8105775" y="161975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76</xdr:row>
      <xdr:rowOff>119379</xdr:rowOff>
    </xdr:from>
    <xdr:to>
      <xdr:col>12</xdr:col>
      <xdr:colOff>63500</xdr:colOff>
      <xdr:row>76</xdr:row>
      <xdr:rowOff>182879</xdr:rowOff>
    </xdr:to>
    <xdr:sp macro="" textlink="">
      <xdr:nvSpPr>
        <xdr:cNvPr id="360" name="nuNumber: 374" hidden="1">
          <a:extLst>
            <a:ext uri="{FF2B5EF4-FFF2-40B4-BE49-F238E27FC236}">
              <a16:creationId xmlns:a16="http://schemas.microsoft.com/office/drawing/2014/main" id="{484D81BE-9B7C-4224-92E9-C50440F878BB}"/>
            </a:ext>
          </a:extLst>
        </xdr:cNvPr>
        <xdr:cNvSpPr/>
      </xdr:nvSpPr>
      <xdr:spPr bwMode="auto">
        <a:xfrm>
          <a:off x="8972550" y="161975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76</xdr:row>
      <xdr:rowOff>119379</xdr:rowOff>
    </xdr:from>
    <xdr:to>
      <xdr:col>13</xdr:col>
      <xdr:colOff>63500</xdr:colOff>
      <xdr:row>76</xdr:row>
      <xdr:rowOff>182879</xdr:rowOff>
    </xdr:to>
    <xdr:sp macro="" textlink="">
      <xdr:nvSpPr>
        <xdr:cNvPr id="361" name="nuNumber: 375" hidden="1">
          <a:extLst>
            <a:ext uri="{FF2B5EF4-FFF2-40B4-BE49-F238E27FC236}">
              <a16:creationId xmlns:a16="http://schemas.microsoft.com/office/drawing/2014/main" id="{2431AB76-EDDA-44A0-9369-EF8D099B12CF}"/>
            </a:ext>
          </a:extLst>
        </xdr:cNvPr>
        <xdr:cNvSpPr/>
      </xdr:nvSpPr>
      <xdr:spPr bwMode="auto">
        <a:xfrm>
          <a:off x="9753600" y="161975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76</xdr:row>
      <xdr:rowOff>119379</xdr:rowOff>
    </xdr:from>
    <xdr:to>
      <xdr:col>14</xdr:col>
      <xdr:colOff>63500</xdr:colOff>
      <xdr:row>76</xdr:row>
      <xdr:rowOff>182879</xdr:rowOff>
    </xdr:to>
    <xdr:sp macro="" textlink="">
      <xdr:nvSpPr>
        <xdr:cNvPr id="362" name="nuNumber: 376" hidden="1">
          <a:extLst>
            <a:ext uri="{FF2B5EF4-FFF2-40B4-BE49-F238E27FC236}">
              <a16:creationId xmlns:a16="http://schemas.microsoft.com/office/drawing/2014/main" id="{71CB8505-56C3-4F9E-A596-783ACF79537B}"/>
            </a:ext>
          </a:extLst>
        </xdr:cNvPr>
        <xdr:cNvSpPr/>
      </xdr:nvSpPr>
      <xdr:spPr bwMode="auto">
        <a:xfrm>
          <a:off x="10515600" y="161975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76</xdr:row>
      <xdr:rowOff>119379</xdr:rowOff>
    </xdr:from>
    <xdr:to>
      <xdr:col>15</xdr:col>
      <xdr:colOff>63500</xdr:colOff>
      <xdr:row>76</xdr:row>
      <xdr:rowOff>182879</xdr:rowOff>
    </xdr:to>
    <xdr:sp macro="" textlink="">
      <xdr:nvSpPr>
        <xdr:cNvPr id="363" name="nuNumber: 377" hidden="1">
          <a:extLst>
            <a:ext uri="{FF2B5EF4-FFF2-40B4-BE49-F238E27FC236}">
              <a16:creationId xmlns:a16="http://schemas.microsoft.com/office/drawing/2014/main" id="{F4775D33-FE4F-4563-B410-042D7BD7FBE3}"/>
            </a:ext>
          </a:extLst>
        </xdr:cNvPr>
        <xdr:cNvSpPr/>
      </xdr:nvSpPr>
      <xdr:spPr bwMode="auto">
        <a:xfrm>
          <a:off x="11325225" y="161975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76</xdr:row>
      <xdr:rowOff>119379</xdr:rowOff>
    </xdr:from>
    <xdr:to>
      <xdr:col>16</xdr:col>
      <xdr:colOff>63500</xdr:colOff>
      <xdr:row>76</xdr:row>
      <xdr:rowOff>182879</xdr:rowOff>
    </xdr:to>
    <xdr:sp macro="" textlink="">
      <xdr:nvSpPr>
        <xdr:cNvPr id="364" name="nuNumber: 378" hidden="1">
          <a:extLst>
            <a:ext uri="{FF2B5EF4-FFF2-40B4-BE49-F238E27FC236}">
              <a16:creationId xmlns:a16="http://schemas.microsoft.com/office/drawing/2014/main" id="{4373E0F2-3248-4A73-97C4-67195FFC3CCB}"/>
            </a:ext>
          </a:extLst>
        </xdr:cNvPr>
        <xdr:cNvSpPr/>
      </xdr:nvSpPr>
      <xdr:spPr bwMode="auto">
        <a:xfrm>
          <a:off x="12106275" y="161975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76</xdr:row>
      <xdr:rowOff>119379</xdr:rowOff>
    </xdr:from>
    <xdr:to>
      <xdr:col>17</xdr:col>
      <xdr:colOff>63500</xdr:colOff>
      <xdr:row>76</xdr:row>
      <xdr:rowOff>182879</xdr:rowOff>
    </xdr:to>
    <xdr:sp macro="" textlink="">
      <xdr:nvSpPr>
        <xdr:cNvPr id="365" name="nuNumber: 379" hidden="1">
          <a:extLst>
            <a:ext uri="{FF2B5EF4-FFF2-40B4-BE49-F238E27FC236}">
              <a16:creationId xmlns:a16="http://schemas.microsoft.com/office/drawing/2014/main" id="{8FB3B9DA-D931-4E52-B82D-E38A5958B799}"/>
            </a:ext>
          </a:extLst>
        </xdr:cNvPr>
        <xdr:cNvSpPr/>
      </xdr:nvSpPr>
      <xdr:spPr bwMode="auto">
        <a:xfrm>
          <a:off x="12887325" y="161975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76</xdr:row>
      <xdr:rowOff>119379</xdr:rowOff>
    </xdr:from>
    <xdr:to>
      <xdr:col>18</xdr:col>
      <xdr:colOff>63499</xdr:colOff>
      <xdr:row>76</xdr:row>
      <xdr:rowOff>182879</xdr:rowOff>
    </xdr:to>
    <xdr:sp macro="" textlink="">
      <xdr:nvSpPr>
        <xdr:cNvPr id="366" name="nuNumber: 380" hidden="1">
          <a:extLst>
            <a:ext uri="{FF2B5EF4-FFF2-40B4-BE49-F238E27FC236}">
              <a16:creationId xmlns:a16="http://schemas.microsoft.com/office/drawing/2014/main" id="{030D1F04-C49D-4DBF-8A66-B03779254C29}"/>
            </a:ext>
          </a:extLst>
        </xdr:cNvPr>
        <xdr:cNvSpPr/>
      </xdr:nvSpPr>
      <xdr:spPr bwMode="auto">
        <a:xfrm>
          <a:off x="13624559" y="16197579"/>
          <a:ext cx="5969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76</xdr:row>
      <xdr:rowOff>119379</xdr:rowOff>
    </xdr:from>
    <xdr:to>
      <xdr:col>19</xdr:col>
      <xdr:colOff>63500</xdr:colOff>
      <xdr:row>76</xdr:row>
      <xdr:rowOff>182879</xdr:rowOff>
    </xdr:to>
    <xdr:sp macro="" textlink="">
      <xdr:nvSpPr>
        <xdr:cNvPr id="367" name="nuNumber: 381" hidden="1">
          <a:extLst>
            <a:ext uri="{FF2B5EF4-FFF2-40B4-BE49-F238E27FC236}">
              <a16:creationId xmlns:a16="http://schemas.microsoft.com/office/drawing/2014/main" id="{1DABB01E-3CAC-4590-B41C-F28A414598ED}"/>
            </a:ext>
          </a:extLst>
        </xdr:cNvPr>
        <xdr:cNvSpPr/>
      </xdr:nvSpPr>
      <xdr:spPr bwMode="auto">
        <a:xfrm>
          <a:off x="14382750" y="161975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76</xdr:row>
      <xdr:rowOff>119379</xdr:rowOff>
    </xdr:from>
    <xdr:to>
      <xdr:col>20</xdr:col>
      <xdr:colOff>63500</xdr:colOff>
      <xdr:row>76</xdr:row>
      <xdr:rowOff>182879</xdr:rowOff>
    </xdr:to>
    <xdr:sp macro="" textlink="">
      <xdr:nvSpPr>
        <xdr:cNvPr id="368" name="nuNumber: 382" hidden="1">
          <a:extLst>
            <a:ext uri="{FF2B5EF4-FFF2-40B4-BE49-F238E27FC236}">
              <a16:creationId xmlns:a16="http://schemas.microsoft.com/office/drawing/2014/main" id="{B59F51EE-D4A6-4C2E-B6F1-3E87CEDF6F1D}"/>
            </a:ext>
          </a:extLst>
        </xdr:cNvPr>
        <xdr:cNvSpPr/>
      </xdr:nvSpPr>
      <xdr:spPr bwMode="auto">
        <a:xfrm>
          <a:off x="15135225" y="161975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76</xdr:row>
      <xdr:rowOff>119379</xdr:rowOff>
    </xdr:from>
    <xdr:to>
      <xdr:col>21</xdr:col>
      <xdr:colOff>63500</xdr:colOff>
      <xdr:row>76</xdr:row>
      <xdr:rowOff>182879</xdr:rowOff>
    </xdr:to>
    <xdr:sp macro="" textlink="">
      <xdr:nvSpPr>
        <xdr:cNvPr id="369" name="nuNumber: 383" hidden="1">
          <a:extLst>
            <a:ext uri="{FF2B5EF4-FFF2-40B4-BE49-F238E27FC236}">
              <a16:creationId xmlns:a16="http://schemas.microsoft.com/office/drawing/2014/main" id="{351913B8-710F-479D-A10C-125192BC835C}"/>
            </a:ext>
          </a:extLst>
        </xdr:cNvPr>
        <xdr:cNvSpPr/>
      </xdr:nvSpPr>
      <xdr:spPr bwMode="auto">
        <a:xfrm>
          <a:off x="15849600" y="161975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77</xdr:row>
      <xdr:rowOff>119380</xdr:rowOff>
    </xdr:from>
    <xdr:to>
      <xdr:col>8</xdr:col>
      <xdr:colOff>63500</xdr:colOff>
      <xdr:row>78</xdr:row>
      <xdr:rowOff>0</xdr:rowOff>
    </xdr:to>
    <xdr:sp macro="" textlink="">
      <xdr:nvSpPr>
        <xdr:cNvPr id="370" name="nuNumber: 384" hidden="1">
          <a:extLst>
            <a:ext uri="{FF2B5EF4-FFF2-40B4-BE49-F238E27FC236}">
              <a16:creationId xmlns:a16="http://schemas.microsoft.com/office/drawing/2014/main" id="{56BBE42E-B7C6-4E89-AD8B-49C9F5F6BDC8}"/>
            </a:ext>
          </a:extLst>
        </xdr:cNvPr>
        <xdr:cNvSpPr/>
      </xdr:nvSpPr>
      <xdr:spPr bwMode="auto">
        <a:xfrm>
          <a:off x="5562600" y="164071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77</xdr:row>
      <xdr:rowOff>119380</xdr:rowOff>
    </xdr:from>
    <xdr:to>
      <xdr:col>9</xdr:col>
      <xdr:colOff>63500</xdr:colOff>
      <xdr:row>78</xdr:row>
      <xdr:rowOff>0</xdr:rowOff>
    </xdr:to>
    <xdr:sp macro="" textlink="">
      <xdr:nvSpPr>
        <xdr:cNvPr id="371" name="nuNumber: 385" hidden="1">
          <a:extLst>
            <a:ext uri="{FF2B5EF4-FFF2-40B4-BE49-F238E27FC236}">
              <a16:creationId xmlns:a16="http://schemas.microsoft.com/office/drawing/2014/main" id="{CAA659BD-95F0-429A-9E08-2514F3E53E5B}"/>
            </a:ext>
          </a:extLst>
        </xdr:cNvPr>
        <xdr:cNvSpPr/>
      </xdr:nvSpPr>
      <xdr:spPr bwMode="auto">
        <a:xfrm>
          <a:off x="6467475" y="164071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77</xdr:row>
      <xdr:rowOff>119380</xdr:rowOff>
    </xdr:from>
    <xdr:to>
      <xdr:col>9</xdr:col>
      <xdr:colOff>63500</xdr:colOff>
      <xdr:row>78</xdr:row>
      <xdr:rowOff>0</xdr:rowOff>
    </xdr:to>
    <xdr:sp macro="" textlink="">
      <xdr:nvSpPr>
        <xdr:cNvPr id="372" name="nuNumber: 386" hidden="1">
          <a:extLst>
            <a:ext uri="{FF2B5EF4-FFF2-40B4-BE49-F238E27FC236}">
              <a16:creationId xmlns:a16="http://schemas.microsoft.com/office/drawing/2014/main" id="{E3C79B29-9461-4AFF-ABD4-D582BCA57632}"/>
            </a:ext>
          </a:extLst>
        </xdr:cNvPr>
        <xdr:cNvSpPr/>
      </xdr:nvSpPr>
      <xdr:spPr bwMode="auto">
        <a:xfrm>
          <a:off x="6467475" y="164071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77</xdr:row>
      <xdr:rowOff>119380</xdr:rowOff>
    </xdr:from>
    <xdr:to>
      <xdr:col>10</xdr:col>
      <xdr:colOff>63500</xdr:colOff>
      <xdr:row>78</xdr:row>
      <xdr:rowOff>0</xdr:rowOff>
    </xdr:to>
    <xdr:sp macro="" textlink="">
      <xdr:nvSpPr>
        <xdr:cNvPr id="373" name="nuNumber: 387" hidden="1">
          <a:extLst>
            <a:ext uri="{FF2B5EF4-FFF2-40B4-BE49-F238E27FC236}">
              <a16:creationId xmlns:a16="http://schemas.microsoft.com/office/drawing/2014/main" id="{BA6A6867-44B5-4BF3-A287-4B4B47B0CE38}"/>
            </a:ext>
          </a:extLst>
        </xdr:cNvPr>
        <xdr:cNvSpPr/>
      </xdr:nvSpPr>
      <xdr:spPr bwMode="auto">
        <a:xfrm>
          <a:off x="7315200" y="164071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77</xdr:row>
      <xdr:rowOff>119380</xdr:rowOff>
    </xdr:from>
    <xdr:to>
      <xdr:col>11</xdr:col>
      <xdr:colOff>63500</xdr:colOff>
      <xdr:row>78</xdr:row>
      <xdr:rowOff>0</xdr:rowOff>
    </xdr:to>
    <xdr:sp macro="" textlink="">
      <xdr:nvSpPr>
        <xdr:cNvPr id="374" name="nuNumber: 388" hidden="1">
          <a:extLst>
            <a:ext uri="{FF2B5EF4-FFF2-40B4-BE49-F238E27FC236}">
              <a16:creationId xmlns:a16="http://schemas.microsoft.com/office/drawing/2014/main" id="{B1A876C5-E229-4C14-9C41-EBBA910A2E5A}"/>
            </a:ext>
          </a:extLst>
        </xdr:cNvPr>
        <xdr:cNvSpPr/>
      </xdr:nvSpPr>
      <xdr:spPr bwMode="auto">
        <a:xfrm>
          <a:off x="8105775" y="164071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77</xdr:row>
      <xdr:rowOff>119380</xdr:rowOff>
    </xdr:from>
    <xdr:to>
      <xdr:col>12</xdr:col>
      <xdr:colOff>63500</xdr:colOff>
      <xdr:row>78</xdr:row>
      <xdr:rowOff>0</xdr:rowOff>
    </xdr:to>
    <xdr:sp macro="" textlink="">
      <xdr:nvSpPr>
        <xdr:cNvPr id="375" name="nuNumber: 389" hidden="1">
          <a:extLst>
            <a:ext uri="{FF2B5EF4-FFF2-40B4-BE49-F238E27FC236}">
              <a16:creationId xmlns:a16="http://schemas.microsoft.com/office/drawing/2014/main" id="{A6CF7A6D-5536-4CC2-9EEA-CF7DCD6FDBA5}"/>
            </a:ext>
          </a:extLst>
        </xdr:cNvPr>
        <xdr:cNvSpPr/>
      </xdr:nvSpPr>
      <xdr:spPr bwMode="auto">
        <a:xfrm>
          <a:off x="8972550" y="164071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77</xdr:row>
      <xdr:rowOff>119380</xdr:rowOff>
    </xdr:from>
    <xdr:to>
      <xdr:col>13</xdr:col>
      <xdr:colOff>63500</xdr:colOff>
      <xdr:row>78</xdr:row>
      <xdr:rowOff>0</xdr:rowOff>
    </xdr:to>
    <xdr:sp macro="" textlink="">
      <xdr:nvSpPr>
        <xdr:cNvPr id="376" name="nuNumber: 390" hidden="1">
          <a:extLst>
            <a:ext uri="{FF2B5EF4-FFF2-40B4-BE49-F238E27FC236}">
              <a16:creationId xmlns:a16="http://schemas.microsoft.com/office/drawing/2014/main" id="{F0917113-782F-44C9-B490-F35011DEBD7D}"/>
            </a:ext>
          </a:extLst>
        </xdr:cNvPr>
        <xdr:cNvSpPr/>
      </xdr:nvSpPr>
      <xdr:spPr bwMode="auto">
        <a:xfrm>
          <a:off x="9753600" y="164071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77</xdr:row>
      <xdr:rowOff>119380</xdr:rowOff>
    </xdr:from>
    <xdr:to>
      <xdr:col>14</xdr:col>
      <xdr:colOff>63500</xdr:colOff>
      <xdr:row>78</xdr:row>
      <xdr:rowOff>0</xdr:rowOff>
    </xdr:to>
    <xdr:sp macro="" textlink="">
      <xdr:nvSpPr>
        <xdr:cNvPr id="377" name="nuNumber: 391" hidden="1">
          <a:extLst>
            <a:ext uri="{FF2B5EF4-FFF2-40B4-BE49-F238E27FC236}">
              <a16:creationId xmlns:a16="http://schemas.microsoft.com/office/drawing/2014/main" id="{3D1BAC41-3929-4743-8E13-45A522674C66}"/>
            </a:ext>
          </a:extLst>
        </xdr:cNvPr>
        <xdr:cNvSpPr/>
      </xdr:nvSpPr>
      <xdr:spPr bwMode="auto">
        <a:xfrm>
          <a:off x="10515600" y="164071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77</xdr:row>
      <xdr:rowOff>119380</xdr:rowOff>
    </xdr:from>
    <xdr:to>
      <xdr:col>15</xdr:col>
      <xdr:colOff>63500</xdr:colOff>
      <xdr:row>78</xdr:row>
      <xdr:rowOff>0</xdr:rowOff>
    </xdr:to>
    <xdr:sp macro="" textlink="">
      <xdr:nvSpPr>
        <xdr:cNvPr id="378" name="nuNumber: 392" hidden="1">
          <a:extLst>
            <a:ext uri="{FF2B5EF4-FFF2-40B4-BE49-F238E27FC236}">
              <a16:creationId xmlns:a16="http://schemas.microsoft.com/office/drawing/2014/main" id="{D5FC4612-BB45-4B5E-9BFA-81853B2B5CB7}"/>
            </a:ext>
          </a:extLst>
        </xdr:cNvPr>
        <xdr:cNvSpPr/>
      </xdr:nvSpPr>
      <xdr:spPr bwMode="auto">
        <a:xfrm>
          <a:off x="11325225" y="164071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77</xdr:row>
      <xdr:rowOff>119380</xdr:rowOff>
    </xdr:from>
    <xdr:to>
      <xdr:col>16</xdr:col>
      <xdr:colOff>63500</xdr:colOff>
      <xdr:row>78</xdr:row>
      <xdr:rowOff>0</xdr:rowOff>
    </xdr:to>
    <xdr:sp macro="" textlink="">
      <xdr:nvSpPr>
        <xdr:cNvPr id="379" name="nuNumber: 393" hidden="1">
          <a:extLst>
            <a:ext uri="{FF2B5EF4-FFF2-40B4-BE49-F238E27FC236}">
              <a16:creationId xmlns:a16="http://schemas.microsoft.com/office/drawing/2014/main" id="{71B3DB5F-1D7E-43FE-9C7D-8EF81E00465D}"/>
            </a:ext>
          </a:extLst>
        </xdr:cNvPr>
        <xdr:cNvSpPr/>
      </xdr:nvSpPr>
      <xdr:spPr bwMode="auto">
        <a:xfrm>
          <a:off x="12106275" y="164071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77</xdr:row>
      <xdr:rowOff>119380</xdr:rowOff>
    </xdr:from>
    <xdr:to>
      <xdr:col>17</xdr:col>
      <xdr:colOff>63500</xdr:colOff>
      <xdr:row>78</xdr:row>
      <xdr:rowOff>0</xdr:rowOff>
    </xdr:to>
    <xdr:sp macro="" textlink="">
      <xdr:nvSpPr>
        <xdr:cNvPr id="380" name="nuNumber: 394" hidden="1">
          <a:extLst>
            <a:ext uri="{FF2B5EF4-FFF2-40B4-BE49-F238E27FC236}">
              <a16:creationId xmlns:a16="http://schemas.microsoft.com/office/drawing/2014/main" id="{03972B34-D47B-4CC1-878A-FECD143AC4F6}"/>
            </a:ext>
          </a:extLst>
        </xdr:cNvPr>
        <xdr:cNvSpPr/>
      </xdr:nvSpPr>
      <xdr:spPr bwMode="auto">
        <a:xfrm>
          <a:off x="12887325" y="164071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77</xdr:row>
      <xdr:rowOff>119380</xdr:rowOff>
    </xdr:from>
    <xdr:to>
      <xdr:col>18</xdr:col>
      <xdr:colOff>63499</xdr:colOff>
      <xdr:row>78</xdr:row>
      <xdr:rowOff>0</xdr:rowOff>
    </xdr:to>
    <xdr:sp macro="" textlink="">
      <xdr:nvSpPr>
        <xdr:cNvPr id="381" name="nuNumber: 395" hidden="1">
          <a:extLst>
            <a:ext uri="{FF2B5EF4-FFF2-40B4-BE49-F238E27FC236}">
              <a16:creationId xmlns:a16="http://schemas.microsoft.com/office/drawing/2014/main" id="{C67C7856-09B0-4784-8396-5476945F2669}"/>
            </a:ext>
          </a:extLst>
        </xdr:cNvPr>
        <xdr:cNvSpPr/>
      </xdr:nvSpPr>
      <xdr:spPr bwMode="auto">
        <a:xfrm>
          <a:off x="13624559" y="1640713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77</xdr:row>
      <xdr:rowOff>119380</xdr:rowOff>
    </xdr:from>
    <xdr:to>
      <xdr:col>19</xdr:col>
      <xdr:colOff>63500</xdr:colOff>
      <xdr:row>78</xdr:row>
      <xdr:rowOff>0</xdr:rowOff>
    </xdr:to>
    <xdr:sp macro="" textlink="">
      <xdr:nvSpPr>
        <xdr:cNvPr id="382" name="nuNumber: 396" hidden="1">
          <a:extLst>
            <a:ext uri="{FF2B5EF4-FFF2-40B4-BE49-F238E27FC236}">
              <a16:creationId xmlns:a16="http://schemas.microsoft.com/office/drawing/2014/main" id="{699516AD-DC48-4CE3-AA16-C9A946D4FEB6}"/>
            </a:ext>
          </a:extLst>
        </xdr:cNvPr>
        <xdr:cNvSpPr/>
      </xdr:nvSpPr>
      <xdr:spPr bwMode="auto">
        <a:xfrm>
          <a:off x="14382750" y="164071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77</xdr:row>
      <xdr:rowOff>119380</xdr:rowOff>
    </xdr:from>
    <xdr:to>
      <xdr:col>20</xdr:col>
      <xdr:colOff>63500</xdr:colOff>
      <xdr:row>78</xdr:row>
      <xdr:rowOff>0</xdr:rowOff>
    </xdr:to>
    <xdr:sp macro="" textlink="">
      <xdr:nvSpPr>
        <xdr:cNvPr id="383" name="nuNumber: 397" hidden="1">
          <a:extLst>
            <a:ext uri="{FF2B5EF4-FFF2-40B4-BE49-F238E27FC236}">
              <a16:creationId xmlns:a16="http://schemas.microsoft.com/office/drawing/2014/main" id="{0A318B2E-F0E4-4C3A-8D7C-C99CD0AC35C3}"/>
            </a:ext>
          </a:extLst>
        </xdr:cNvPr>
        <xdr:cNvSpPr/>
      </xdr:nvSpPr>
      <xdr:spPr bwMode="auto">
        <a:xfrm>
          <a:off x="15135225" y="164071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77</xdr:row>
      <xdr:rowOff>119380</xdr:rowOff>
    </xdr:from>
    <xdr:to>
      <xdr:col>21</xdr:col>
      <xdr:colOff>63500</xdr:colOff>
      <xdr:row>78</xdr:row>
      <xdr:rowOff>0</xdr:rowOff>
    </xdr:to>
    <xdr:sp macro="" textlink="">
      <xdr:nvSpPr>
        <xdr:cNvPr id="384" name="nuNumber: 398" hidden="1">
          <a:extLst>
            <a:ext uri="{FF2B5EF4-FFF2-40B4-BE49-F238E27FC236}">
              <a16:creationId xmlns:a16="http://schemas.microsoft.com/office/drawing/2014/main" id="{2D94E178-A2AF-42FE-8335-02EB77EA638E}"/>
            </a:ext>
          </a:extLst>
        </xdr:cNvPr>
        <xdr:cNvSpPr/>
      </xdr:nvSpPr>
      <xdr:spPr bwMode="auto">
        <a:xfrm>
          <a:off x="15849600" y="164071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80</xdr:row>
      <xdr:rowOff>119380</xdr:rowOff>
    </xdr:from>
    <xdr:to>
      <xdr:col>8</xdr:col>
      <xdr:colOff>63500</xdr:colOff>
      <xdr:row>81</xdr:row>
      <xdr:rowOff>0</xdr:rowOff>
    </xdr:to>
    <xdr:sp macro="" textlink="">
      <xdr:nvSpPr>
        <xdr:cNvPr id="385" name="nuNumber: 399" hidden="1">
          <a:extLst>
            <a:ext uri="{FF2B5EF4-FFF2-40B4-BE49-F238E27FC236}">
              <a16:creationId xmlns:a16="http://schemas.microsoft.com/office/drawing/2014/main" id="{8B3CFDF3-6B78-467C-9052-DB15FBEB7A73}"/>
            </a:ext>
          </a:extLst>
        </xdr:cNvPr>
        <xdr:cNvSpPr/>
      </xdr:nvSpPr>
      <xdr:spPr bwMode="auto">
        <a:xfrm>
          <a:off x="5562600" y="170357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80</xdr:row>
      <xdr:rowOff>119380</xdr:rowOff>
    </xdr:from>
    <xdr:to>
      <xdr:col>9</xdr:col>
      <xdr:colOff>63500</xdr:colOff>
      <xdr:row>81</xdr:row>
      <xdr:rowOff>0</xdr:rowOff>
    </xdr:to>
    <xdr:sp macro="" textlink="">
      <xdr:nvSpPr>
        <xdr:cNvPr id="386" name="nuNumber: 400" hidden="1">
          <a:extLst>
            <a:ext uri="{FF2B5EF4-FFF2-40B4-BE49-F238E27FC236}">
              <a16:creationId xmlns:a16="http://schemas.microsoft.com/office/drawing/2014/main" id="{4476A47D-F7CF-43D3-AA56-219385AD0723}"/>
            </a:ext>
          </a:extLst>
        </xdr:cNvPr>
        <xdr:cNvSpPr/>
      </xdr:nvSpPr>
      <xdr:spPr bwMode="auto">
        <a:xfrm>
          <a:off x="6467475" y="170357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80</xdr:row>
      <xdr:rowOff>119380</xdr:rowOff>
    </xdr:from>
    <xdr:to>
      <xdr:col>10</xdr:col>
      <xdr:colOff>63500</xdr:colOff>
      <xdr:row>81</xdr:row>
      <xdr:rowOff>0</xdr:rowOff>
    </xdr:to>
    <xdr:sp macro="" textlink="">
      <xdr:nvSpPr>
        <xdr:cNvPr id="387" name="nuNumber: 401" hidden="1">
          <a:extLst>
            <a:ext uri="{FF2B5EF4-FFF2-40B4-BE49-F238E27FC236}">
              <a16:creationId xmlns:a16="http://schemas.microsoft.com/office/drawing/2014/main" id="{DF9FE808-02EB-49D0-BD4E-DDCAA9E52614}"/>
            </a:ext>
          </a:extLst>
        </xdr:cNvPr>
        <xdr:cNvSpPr/>
      </xdr:nvSpPr>
      <xdr:spPr bwMode="auto">
        <a:xfrm>
          <a:off x="7315200" y="170357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80</xdr:row>
      <xdr:rowOff>119380</xdr:rowOff>
    </xdr:from>
    <xdr:to>
      <xdr:col>11</xdr:col>
      <xdr:colOff>63500</xdr:colOff>
      <xdr:row>81</xdr:row>
      <xdr:rowOff>0</xdr:rowOff>
    </xdr:to>
    <xdr:sp macro="" textlink="">
      <xdr:nvSpPr>
        <xdr:cNvPr id="388" name="nuNumber: 402" hidden="1">
          <a:extLst>
            <a:ext uri="{FF2B5EF4-FFF2-40B4-BE49-F238E27FC236}">
              <a16:creationId xmlns:a16="http://schemas.microsoft.com/office/drawing/2014/main" id="{57CF2563-BB90-49B7-9DDD-F89C711FBF13}"/>
            </a:ext>
          </a:extLst>
        </xdr:cNvPr>
        <xdr:cNvSpPr/>
      </xdr:nvSpPr>
      <xdr:spPr bwMode="auto">
        <a:xfrm>
          <a:off x="8105775" y="170357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80</xdr:row>
      <xdr:rowOff>119380</xdr:rowOff>
    </xdr:from>
    <xdr:to>
      <xdr:col>12</xdr:col>
      <xdr:colOff>63500</xdr:colOff>
      <xdr:row>81</xdr:row>
      <xdr:rowOff>0</xdr:rowOff>
    </xdr:to>
    <xdr:sp macro="" textlink="">
      <xdr:nvSpPr>
        <xdr:cNvPr id="389" name="nuNumber: 403" hidden="1">
          <a:extLst>
            <a:ext uri="{FF2B5EF4-FFF2-40B4-BE49-F238E27FC236}">
              <a16:creationId xmlns:a16="http://schemas.microsoft.com/office/drawing/2014/main" id="{25D04216-3F09-44CE-823D-D8CFC10A79A1}"/>
            </a:ext>
          </a:extLst>
        </xdr:cNvPr>
        <xdr:cNvSpPr/>
      </xdr:nvSpPr>
      <xdr:spPr bwMode="auto">
        <a:xfrm>
          <a:off x="8972550" y="170357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80</xdr:row>
      <xdr:rowOff>119380</xdr:rowOff>
    </xdr:from>
    <xdr:to>
      <xdr:col>13</xdr:col>
      <xdr:colOff>63500</xdr:colOff>
      <xdr:row>81</xdr:row>
      <xdr:rowOff>0</xdr:rowOff>
    </xdr:to>
    <xdr:sp macro="" textlink="">
      <xdr:nvSpPr>
        <xdr:cNvPr id="390" name="nuNumber: 404" hidden="1">
          <a:extLst>
            <a:ext uri="{FF2B5EF4-FFF2-40B4-BE49-F238E27FC236}">
              <a16:creationId xmlns:a16="http://schemas.microsoft.com/office/drawing/2014/main" id="{7479B994-D9D7-4926-B0ED-0462BC23A678}"/>
            </a:ext>
          </a:extLst>
        </xdr:cNvPr>
        <xdr:cNvSpPr/>
      </xdr:nvSpPr>
      <xdr:spPr bwMode="auto">
        <a:xfrm>
          <a:off x="9753600" y="170357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80</xdr:row>
      <xdr:rowOff>119380</xdr:rowOff>
    </xdr:from>
    <xdr:to>
      <xdr:col>14</xdr:col>
      <xdr:colOff>63500</xdr:colOff>
      <xdr:row>81</xdr:row>
      <xdr:rowOff>0</xdr:rowOff>
    </xdr:to>
    <xdr:sp macro="" textlink="">
      <xdr:nvSpPr>
        <xdr:cNvPr id="391" name="nuNumber: 405" hidden="1">
          <a:extLst>
            <a:ext uri="{FF2B5EF4-FFF2-40B4-BE49-F238E27FC236}">
              <a16:creationId xmlns:a16="http://schemas.microsoft.com/office/drawing/2014/main" id="{07536C00-4158-4CA5-AEC9-B23D809EBC00}"/>
            </a:ext>
          </a:extLst>
        </xdr:cNvPr>
        <xdr:cNvSpPr/>
      </xdr:nvSpPr>
      <xdr:spPr bwMode="auto">
        <a:xfrm>
          <a:off x="10515600" y="170357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80</xdr:row>
      <xdr:rowOff>119380</xdr:rowOff>
    </xdr:from>
    <xdr:to>
      <xdr:col>15</xdr:col>
      <xdr:colOff>63500</xdr:colOff>
      <xdr:row>81</xdr:row>
      <xdr:rowOff>0</xdr:rowOff>
    </xdr:to>
    <xdr:sp macro="" textlink="">
      <xdr:nvSpPr>
        <xdr:cNvPr id="392" name="nuNumber: 406" hidden="1">
          <a:extLst>
            <a:ext uri="{FF2B5EF4-FFF2-40B4-BE49-F238E27FC236}">
              <a16:creationId xmlns:a16="http://schemas.microsoft.com/office/drawing/2014/main" id="{0C681730-2668-4D1A-B851-38589C2293D1}"/>
            </a:ext>
          </a:extLst>
        </xdr:cNvPr>
        <xdr:cNvSpPr/>
      </xdr:nvSpPr>
      <xdr:spPr bwMode="auto">
        <a:xfrm>
          <a:off x="11325225" y="170357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80</xdr:row>
      <xdr:rowOff>119380</xdr:rowOff>
    </xdr:from>
    <xdr:to>
      <xdr:col>16</xdr:col>
      <xdr:colOff>63500</xdr:colOff>
      <xdr:row>81</xdr:row>
      <xdr:rowOff>0</xdr:rowOff>
    </xdr:to>
    <xdr:sp macro="" textlink="">
      <xdr:nvSpPr>
        <xdr:cNvPr id="393" name="nuNumber: 407" hidden="1">
          <a:extLst>
            <a:ext uri="{FF2B5EF4-FFF2-40B4-BE49-F238E27FC236}">
              <a16:creationId xmlns:a16="http://schemas.microsoft.com/office/drawing/2014/main" id="{22F43AE9-D2E7-48A0-A335-6D3977FC5C5D}"/>
            </a:ext>
          </a:extLst>
        </xdr:cNvPr>
        <xdr:cNvSpPr/>
      </xdr:nvSpPr>
      <xdr:spPr bwMode="auto">
        <a:xfrm>
          <a:off x="12106275" y="170357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80</xdr:row>
      <xdr:rowOff>119380</xdr:rowOff>
    </xdr:from>
    <xdr:to>
      <xdr:col>17</xdr:col>
      <xdr:colOff>63500</xdr:colOff>
      <xdr:row>81</xdr:row>
      <xdr:rowOff>0</xdr:rowOff>
    </xdr:to>
    <xdr:sp macro="" textlink="">
      <xdr:nvSpPr>
        <xdr:cNvPr id="394" name="nuNumber: 408" hidden="1">
          <a:extLst>
            <a:ext uri="{FF2B5EF4-FFF2-40B4-BE49-F238E27FC236}">
              <a16:creationId xmlns:a16="http://schemas.microsoft.com/office/drawing/2014/main" id="{E1AC9E12-E862-49C0-9724-40C072D2B519}"/>
            </a:ext>
          </a:extLst>
        </xdr:cNvPr>
        <xdr:cNvSpPr/>
      </xdr:nvSpPr>
      <xdr:spPr bwMode="auto">
        <a:xfrm>
          <a:off x="12887325" y="170357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80</xdr:row>
      <xdr:rowOff>119380</xdr:rowOff>
    </xdr:from>
    <xdr:to>
      <xdr:col>18</xdr:col>
      <xdr:colOff>63499</xdr:colOff>
      <xdr:row>81</xdr:row>
      <xdr:rowOff>0</xdr:rowOff>
    </xdr:to>
    <xdr:sp macro="" textlink="">
      <xdr:nvSpPr>
        <xdr:cNvPr id="395" name="nuNumber: 409" hidden="1">
          <a:extLst>
            <a:ext uri="{FF2B5EF4-FFF2-40B4-BE49-F238E27FC236}">
              <a16:creationId xmlns:a16="http://schemas.microsoft.com/office/drawing/2014/main" id="{F8C05D03-692F-4449-941D-A675F26324A1}"/>
            </a:ext>
          </a:extLst>
        </xdr:cNvPr>
        <xdr:cNvSpPr/>
      </xdr:nvSpPr>
      <xdr:spPr bwMode="auto">
        <a:xfrm>
          <a:off x="13624559" y="1703578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80</xdr:row>
      <xdr:rowOff>119380</xdr:rowOff>
    </xdr:from>
    <xdr:to>
      <xdr:col>19</xdr:col>
      <xdr:colOff>63500</xdr:colOff>
      <xdr:row>81</xdr:row>
      <xdr:rowOff>0</xdr:rowOff>
    </xdr:to>
    <xdr:sp macro="" textlink="">
      <xdr:nvSpPr>
        <xdr:cNvPr id="396" name="nuNumber: 410" hidden="1">
          <a:extLst>
            <a:ext uri="{FF2B5EF4-FFF2-40B4-BE49-F238E27FC236}">
              <a16:creationId xmlns:a16="http://schemas.microsoft.com/office/drawing/2014/main" id="{13981B2C-72C9-4326-BA31-DFF47F8EEB92}"/>
            </a:ext>
          </a:extLst>
        </xdr:cNvPr>
        <xdr:cNvSpPr/>
      </xdr:nvSpPr>
      <xdr:spPr bwMode="auto">
        <a:xfrm>
          <a:off x="14382750" y="170357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80</xdr:row>
      <xdr:rowOff>119380</xdr:rowOff>
    </xdr:from>
    <xdr:to>
      <xdr:col>20</xdr:col>
      <xdr:colOff>63500</xdr:colOff>
      <xdr:row>81</xdr:row>
      <xdr:rowOff>0</xdr:rowOff>
    </xdr:to>
    <xdr:sp macro="" textlink="">
      <xdr:nvSpPr>
        <xdr:cNvPr id="397" name="nuNumber: 411" hidden="1">
          <a:extLst>
            <a:ext uri="{FF2B5EF4-FFF2-40B4-BE49-F238E27FC236}">
              <a16:creationId xmlns:a16="http://schemas.microsoft.com/office/drawing/2014/main" id="{CB921973-190A-4DA2-B11A-799E2063813D}"/>
            </a:ext>
          </a:extLst>
        </xdr:cNvPr>
        <xdr:cNvSpPr/>
      </xdr:nvSpPr>
      <xdr:spPr bwMode="auto">
        <a:xfrm>
          <a:off x="15135225" y="170357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80</xdr:row>
      <xdr:rowOff>119380</xdr:rowOff>
    </xdr:from>
    <xdr:to>
      <xdr:col>21</xdr:col>
      <xdr:colOff>63500</xdr:colOff>
      <xdr:row>81</xdr:row>
      <xdr:rowOff>0</xdr:rowOff>
    </xdr:to>
    <xdr:sp macro="" textlink="">
      <xdr:nvSpPr>
        <xdr:cNvPr id="398" name="nuNumber: 412" hidden="1">
          <a:extLst>
            <a:ext uri="{FF2B5EF4-FFF2-40B4-BE49-F238E27FC236}">
              <a16:creationId xmlns:a16="http://schemas.microsoft.com/office/drawing/2014/main" id="{3409A3B7-7A8F-4A27-A558-A92BFE158A2B}"/>
            </a:ext>
          </a:extLst>
        </xdr:cNvPr>
        <xdr:cNvSpPr/>
      </xdr:nvSpPr>
      <xdr:spPr bwMode="auto">
        <a:xfrm>
          <a:off x="15849600" y="170357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81</xdr:row>
      <xdr:rowOff>119380</xdr:rowOff>
    </xdr:from>
    <xdr:to>
      <xdr:col>10</xdr:col>
      <xdr:colOff>63500</xdr:colOff>
      <xdr:row>82</xdr:row>
      <xdr:rowOff>0</xdr:rowOff>
    </xdr:to>
    <xdr:sp macro="" textlink="">
      <xdr:nvSpPr>
        <xdr:cNvPr id="399" name="nuNumber: 413" hidden="1">
          <a:extLst>
            <a:ext uri="{FF2B5EF4-FFF2-40B4-BE49-F238E27FC236}">
              <a16:creationId xmlns:a16="http://schemas.microsoft.com/office/drawing/2014/main" id="{83DCD8D2-63E0-469C-BF24-6BA4B62501AE}"/>
            </a:ext>
          </a:extLst>
        </xdr:cNvPr>
        <xdr:cNvSpPr/>
      </xdr:nvSpPr>
      <xdr:spPr bwMode="auto">
        <a:xfrm>
          <a:off x="7315200" y="17245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81</xdr:row>
      <xdr:rowOff>119380</xdr:rowOff>
    </xdr:from>
    <xdr:to>
      <xdr:col>11</xdr:col>
      <xdr:colOff>63500</xdr:colOff>
      <xdr:row>82</xdr:row>
      <xdr:rowOff>0</xdr:rowOff>
    </xdr:to>
    <xdr:sp macro="" textlink="">
      <xdr:nvSpPr>
        <xdr:cNvPr id="400" name="nuNumber: 414" hidden="1">
          <a:extLst>
            <a:ext uri="{FF2B5EF4-FFF2-40B4-BE49-F238E27FC236}">
              <a16:creationId xmlns:a16="http://schemas.microsoft.com/office/drawing/2014/main" id="{8CBCEAB0-F971-46D5-AF17-22823221AF7B}"/>
            </a:ext>
          </a:extLst>
        </xdr:cNvPr>
        <xdr:cNvSpPr/>
      </xdr:nvSpPr>
      <xdr:spPr bwMode="auto">
        <a:xfrm>
          <a:off x="8105775" y="17245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81</xdr:row>
      <xdr:rowOff>119380</xdr:rowOff>
    </xdr:from>
    <xdr:to>
      <xdr:col>12</xdr:col>
      <xdr:colOff>63500</xdr:colOff>
      <xdr:row>82</xdr:row>
      <xdr:rowOff>0</xdr:rowOff>
    </xdr:to>
    <xdr:sp macro="" textlink="">
      <xdr:nvSpPr>
        <xdr:cNvPr id="401" name="nuNumber: 415" hidden="1">
          <a:extLst>
            <a:ext uri="{FF2B5EF4-FFF2-40B4-BE49-F238E27FC236}">
              <a16:creationId xmlns:a16="http://schemas.microsoft.com/office/drawing/2014/main" id="{304B4C8C-9BE9-4876-B43A-53FFC68C1D3A}"/>
            </a:ext>
          </a:extLst>
        </xdr:cNvPr>
        <xdr:cNvSpPr/>
      </xdr:nvSpPr>
      <xdr:spPr bwMode="auto">
        <a:xfrm>
          <a:off x="8972550" y="17245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81</xdr:row>
      <xdr:rowOff>119380</xdr:rowOff>
    </xdr:from>
    <xdr:to>
      <xdr:col>13</xdr:col>
      <xdr:colOff>63500</xdr:colOff>
      <xdr:row>82</xdr:row>
      <xdr:rowOff>0</xdr:rowOff>
    </xdr:to>
    <xdr:sp macro="" textlink="">
      <xdr:nvSpPr>
        <xdr:cNvPr id="402" name="nuNumber: 416" hidden="1">
          <a:extLst>
            <a:ext uri="{FF2B5EF4-FFF2-40B4-BE49-F238E27FC236}">
              <a16:creationId xmlns:a16="http://schemas.microsoft.com/office/drawing/2014/main" id="{54F6A7A0-9DE9-4E49-8606-6F8B96C06D2E}"/>
            </a:ext>
          </a:extLst>
        </xdr:cNvPr>
        <xdr:cNvSpPr/>
      </xdr:nvSpPr>
      <xdr:spPr bwMode="auto">
        <a:xfrm>
          <a:off x="9753600" y="17245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81</xdr:row>
      <xdr:rowOff>119380</xdr:rowOff>
    </xdr:from>
    <xdr:to>
      <xdr:col>14</xdr:col>
      <xdr:colOff>63500</xdr:colOff>
      <xdr:row>82</xdr:row>
      <xdr:rowOff>0</xdr:rowOff>
    </xdr:to>
    <xdr:sp macro="" textlink="">
      <xdr:nvSpPr>
        <xdr:cNvPr id="403" name="nuNumber: 417" hidden="1">
          <a:extLst>
            <a:ext uri="{FF2B5EF4-FFF2-40B4-BE49-F238E27FC236}">
              <a16:creationId xmlns:a16="http://schemas.microsoft.com/office/drawing/2014/main" id="{0FE9569C-95B5-444B-B5BC-3265A06BAE46}"/>
            </a:ext>
          </a:extLst>
        </xdr:cNvPr>
        <xdr:cNvSpPr/>
      </xdr:nvSpPr>
      <xdr:spPr bwMode="auto">
        <a:xfrm>
          <a:off x="10515600" y="17245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81</xdr:row>
      <xdr:rowOff>119380</xdr:rowOff>
    </xdr:from>
    <xdr:to>
      <xdr:col>15</xdr:col>
      <xdr:colOff>63500</xdr:colOff>
      <xdr:row>82</xdr:row>
      <xdr:rowOff>0</xdr:rowOff>
    </xdr:to>
    <xdr:sp macro="" textlink="">
      <xdr:nvSpPr>
        <xdr:cNvPr id="404" name="nuNumber: 418" hidden="1">
          <a:extLst>
            <a:ext uri="{FF2B5EF4-FFF2-40B4-BE49-F238E27FC236}">
              <a16:creationId xmlns:a16="http://schemas.microsoft.com/office/drawing/2014/main" id="{5E4638E1-F66B-44E0-ACE4-765F98147DCD}"/>
            </a:ext>
          </a:extLst>
        </xdr:cNvPr>
        <xdr:cNvSpPr/>
      </xdr:nvSpPr>
      <xdr:spPr bwMode="auto">
        <a:xfrm>
          <a:off x="11325225" y="17245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81</xdr:row>
      <xdr:rowOff>119380</xdr:rowOff>
    </xdr:from>
    <xdr:to>
      <xdr:col>16</xdr:col>
      <xdr:colOff>63500</xdr:colOff>
      <xdr:row>82</xdr:row>
      <xdr:rowOff>0</xdr:rowOff>
    </xdr:to>
    <xdr:sp macro="" textlink="">
      <xdr:nvSpPr>
        <xdr:cNvPr id="405" name="nuNumber: 419" hidden="1">
          <a:extLst>
            <a:ext uri="{FF2B5EF4-FFF2-40B4-BE49-F238E27FC236}">
              <a16:creationId xmlns:a16="http://schemas.microsoft.com/office/drawing/2014/main" id="{52AC205B-1522-4A33-8BBB-066A6D496A19}"/>
            </a:ext>
          </a:extLst>
        </xdr:cNvPr>
        <xdr:cNvSpPr/>
      </xdr:nvSpPr>
      <xdr:spPr bwMode="auto">
        <a:xfrm>
          <a:off x="12106275" y="17245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81</xdr:row>
      <xdr:rowOff>119380</xdr:rowOff>
    </xdr:from>
    <xdr:to>
      <xdr:col>17</xdr:col>
      <xdr:colOff>63500</xdr:colOff>
      <xdr:row>82</xdr:row>
      <xdr:rowOff>0</xdr:rowOff>
    </xdr:to>
    <xdr:sp macro="" textlink="">
      <xdr:nvSpPr>
        <xdr:cNvPr id="406" name="nuNumber: 420" hidden="1">
          <a:extLst>
            <a:ext uri="{FF2B5EF4-FFF2-40B4-BE49-F238E27FC236}">
              <a16:creationId xmlns:a16="http://schemas.microsoft.com/office/drawing/2014/main" id="{99057873-6994-4633-B91C-A527A70C4190}"/>
            </a:ext>
          </a:extLst>
        </xdr:cNvPr>
        <xdr:cNvSpPr/>
      </xdr:nvSpPr>
      <xdr:spPr bwMode="auto">
        <a:xfrm>
          <a:off x="12887325" y="17245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81</xdr:row>
      <xdr:rowOff>119380</xdr:rowOff>
    </xdr:from>
    <xdr:to>
      <xdr:col>18</xdr:col>
      <xdr:colOff>63499</xdr:colOff>
      <xdr:row>82</xdr:row>
      <xdr:rowOff>0</xdr:rowOff>
    </xdr:to>
    <xdr:sp macro="" textlink="">
      <xdr:nvSpPr>
        <xdr:cNvPr id="407" name="nuNumber: 421" hidden="1">
          <a:extLst>
            <a:ext uri="{FF2B5EF4-FFF2-40B4-BE49-F238E27FC236}">
              <a16:creationId xmlns:a16="http://schemas.microsoft.com/office/drawing/2014/main" id="{1290B377-1886-462A-B382-E74B9F73F9B1}"/>
            </a:ext>
          </a:extLst>
        </xdr:cNvPr>
        <xdr:cNvSpPr/>
      </xdr:nvSpPr>
      <xdr:spPr bwMode="auto">
        <a:xfrm>
          <a:off x="13624559" y="1724533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81</xdr:row>
      <xdr:rowOff>119380</xdr:rowOff>
    </xdr:from>
    <xdr:to>
      <xdr:col>19</xdr:col>
      <xdr:colOff>63500</xdr:colOff>
      <xdr:row>82</xdr:row>
      <xdr:rowOff>0</xdr:rowOff>
    </xdr:to>
    <xdr:sp macro="" textlink="">
      <xdr:nvSpPr>
        <xdr:cNvPr id="408" name="nuNumber: 422" hidden="1">
          <a:extLst>
            <a:ext uri="{FF2B5EF4-FFF2-40B4-BE49-F238E27FC236}">
              <a16:creationId xmlns:a16="http://schemas.microsoft.com/office/drawing/2014/main" id="{DF454BFC-C079-4326-8BF4-40BA293FA01C}"/>
            </a:ext>
          </a:extLst>
        </xdr:cNvPr>
        <xdr:cNvSpPr/>
      </xdr:nvSpPr>
      <xdr:spPr bwMode="auto">
        <a:xfrm>
          <a:off x="14382750" y="17245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81</xdr:row>
      <xdr:rowOff>119380</xdr:rowOff>
    </xdr:from>
    <xdr:to>
      <xdr:col>20</xdr:col>
      <xdr:colOff>63500</xdr:colOff>
      <xdr:row>82</xdr:row>
      <xdr:rowOff>0</xdr:rowOff>
    </xdr:to>
    <xdr:sp macro="" textlink="">
      <xdr:nvSpPr>
        <xdr:cNvPr id="409" name="nuNumber: 423" hidden="1">
          <a:extLst>
            <a:ext uri="{FF2B5EF4-FFF2-40B4-BE49-F238E27FC236}">
              <a16:creationId xmlns:a16="http://schemas.microsoft.com/office/drawing/2014/main" id="{27F58D06-0C7A-475E-B8E1-1C4E38526E06}"/>
            </a:ext>
          </a:extLst>
        </xdr:cNvPr>
        <xdr:cNvSpPr/>
      </xdr:nvSpPr>
      <xdr:spPr bwMode="auto">
        <a:xfrm>
          <a:off x="15135225" y="17245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81</xdr:row>
      <xdr:rowOff>119380</xdr:rowOff>
    </xdr:from>
    <xdr:to>
      <xdr:col>21</xdr:col>
      <xdr:colOff>63500</xdr:colOff>
      <xdr:row>82</xdr:row>
      <xdr:rowOff>0</xdr:rowOff>
    </xdr:to>
    <xdr:sp macro="" textlink="">
      <xdr:nvSpPr>
        <xdr:cNvPr id="410" name="nuNumber: 424" hidden="1">
          <a:extLst>
            <a:ext uri="{FF2B5EF4-FFF2-40B4-BE49-F238E27FC236}">
              <a16:creationId xmlns:a16="http://schemas.microsoft.com/office/drawing/2014/main" id="{A5E49C8E-5A12-432E-BCBC-4C47B78D4BF4}"/>
            </a:ext>
          </a:extLst>
        </xdr:cNvPr>
        <xdr:cNvSpPr/>
      </xdr:nvSpPr>
      <xdr:spPr bwMode="auto">
        <a:xfrm>
          <a:off x="15849600" y="17245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82</xdr:row>
      <xdr:rowOff>119381</xdr:rowOff>
    </xdr:from>
    <xdr:to>
      <xdr:col>8</xdr:col>
      <xdr:colOff>63500</xdr:colOff>
      <xdr:row>83</xdr:row>
      <xdr:rowOff>1</xdr:rowOff>
    </xdr:to>
    <xdr:sp macro="" textlink="">
      <xdr:nvSpPr>
        <xdr:cNvPr id="411" name="nuNumber: 425" hidden="1">
          <a:extLst>
            <a:ext uri="{FF2B5EF4-FFF2-40B4-BE49-F238E27FC236}">
              <a16:creationId xmlns:a16="http://schemas.microsoft.com/office/drawing/2014/main" id="{4EBFD5A3-36B3-49C7-90C1-4FA7D7982E8A}"/>
            </a:ext>
          </a:extLst>
        </xdr:cNvPr>
        <xdr:cNvSpPr/>
      </xdr:nvSpPr>
      <xdr:spPr bwMode="auto">
        <a:xfrm>
          <a:off x="5562600" y="174548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82</xdr:row>
      <xdr:rowOff>119381</xdr:rowOff>
    </xdr:from>
    <xdr:to>
      <xdr:col>9</xdr:col>
      <xdr:colOff>63500</xdr:colOff>
      <xdr:row>83</xdr:row>
      <xdr:rowOff>1</xdr:rowOff>
    </xdr:to>
    <xdr:sp macro="" textlink="">
      <xdr:nvSpPr>
        <xdr:cNvPr id="412" name="nuNumber: 426" hidden="1">
          <a:extLst>
            <a:ext uri="{FF2B5EF4-FFF2-40B4-BE49-F238E27FC236}">
              <a16:creationId xmlns:a16="http://schemas.microsoft.com/office/drawing/2014/main" id="{45B21861-BA6E-485A-9D23-4C12F18CDEC7}"/>
            </a:ext>
          </a:extLst>
        </xdr:cNvPr>
        <xdr:cNvSpPr/>
      </xdr:nvSpPr>
      <xdr:spPr bwMode="auto">
        <a:xfrm>
          <a:off x="6467475" y="174548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82</xdr:row>
      <xdr:rowOff>119381</xdr:rowOff>
    </xdr:from>
    <xdr:to>
      <xdr:col>9</xdr:col>
      <xdr:colOff>63500</xdr:colOff>
      <xdr:row>83</xdr:row>
      <xdr:rowOff>1</xdr:rowOff>
    </xdr:to>
    <xdr:sp macro="" textlink="">
      <xdr:nvSpPr>
        <xdr:cNvPr id="413" name="nuNumber: 427" hidden="1">
          <a:extLst>
            <a:ext uri="{FF2B5EF4-FFF2-40B4-BE49-F238E27FC236}">
              <a16:creationId xmlns:a16="http://schemas.microsoft.com/office/drawing/2014/main" id="{CD58E88B-766A-4424-A4C8-A8459DD04046}"/>
            </a:ext>
          </a:extLst>
        </xdr:cNvPr>
        <xdr:cNvSpPr/>
      </xdr:nvSpPr>
      <xdr:spPr bwMode="auto">
        <a:xfrm>
          <a:off x="6467475" y="174548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82</xdr:row>
      <xdr:rowOff>119381</xdr:rowOff>
    </xdr:from>
    <xdr:to>
      <xdr:col>10</xdr:col>
      <xdr:colOff>63500</xdr:colOff>
      <xdr:row>83</xdr:row>
      <xdr:rowOff>1</xdr:rowOff>
    </xdr:to>
    <xdr:sp macro="" textlink="">
      <xdr:nvSpPr>
        <xdr:cNvPr id="414" name="nuNumber: 428" hidden="1">
          <a:extLst>
            <a:ext uri="{FF2B5EF4-FFF2-40B4-BE49-F238E27FC236}">
              <a16:creationId xmlns:a16="http://schemas.microsoft.com/office/drawing/2014/main" id="{88272BF3-8DB6-4297-A7F7-BDFDA48A44C5}"/>
            </a:ext>
          </a:extLst>
        </xdr:cNvPr>
        <xdr:cNvSpPr/>
      </xdr:nvSpPr>
      <xdr:spPr bwMode="auto">
        <a:xfrm>
          <a:off x="7315200" y="174548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82</xdr:row>
      <xdr:rowOff>119381</xdr:rowOff>
    </xdr:from>
    <xdr:to>
      <xdr:col>11</xdr:col>
      <xdr:colOff>63500</xdr:colOff>
      <xdr:row>83</xdr:row>
      <xdr:rowOff>1</xdr:rowOff>
    </xdr:to>
    <xdr:sp macro="" textlink="">
      <xdr:nvSpPr>
        <xdr:cNvPr id="415" name="nuNumber: 429" hidden="1">
          <a:extLst>
            <a:ext uri="{FF2B5EF4-FFF2-40B4-BE49-F238E27FC236}">
              <a16:creationId xmlns:a16="http://schemas.microsoft.com/office/drawing/2014/main" id="{B6AB872C-7037-44FF-A0B2-D33529D72BCD}"/>
            </a:ext>
          </a:extLst>
        </xdr:cNvPr>
        <xdr:cNvSpPr/>
      </xdr:nvSpPr>
      <xdr:spPr bwMode="auto">
        <a:xfrm>
          <a:off x="8105775" y="174548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82</xdr:row>
      <xdr:rowOff>119381</xdr:rowOff>
    </xdr:from>
    <xdr:to>
      <xdr:col>12</xdr:col>
      <xdr:colOff>63500</xdr:colOff>
      <xdr:row>83</xdr:row>
      <xdr:rowOff>1</xdr:rowOff>
    </xdr:to>
    <xdr:sp macro="" textlink="">
      <xdr:nvSpPr>
        <xdr:cNvPr id="416" name="nuNumber: 430" hidden="1">
          <a:extLst>
            <a:ext uri="{FF2B5EF4-FFF2-40B4-BE49-F238E27FC236}">
              <a16:creationId xmlns:a16="http://schemas.microsoft.com/office/drawing/2014/main" id="{312087C0-0A2A-440B-B86A-34A3ED8E9321}"/>
            </a:ext>
          </a:extLst>
        </xdr:cNvPr>
        <xdr:cNvSpPr/>
      </xdr:nvSpPr>
      <xdr:spPr bwMode="auto">
        <a:xfrm>
          <a:off x="8972550" y="174548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82</xdr:row>
      <xdr:rowOff>119381</xdr:rowOff>
    </xdr:from>
    <xdr:to>
      <xdr:col>13</xdr:col>
      <xdr:colOff>63500</xdr:colOff>
      <xdr:row>83</xdr:row>
      <xdr:rowOff>1</xdr:rowOff>
    </xdr:to>
    <xdr:sp macro="" textlink="">
      <xdr:nvSpPr>
        <xdr:cNvPr id="417" name="nuNumber: 431" hidden="1">
          <a:extLst>
            <a:ext uri="{FF2B5EF4-FFF2-40B4-BE49-F238E27FC236}">
              <a16:creationId xmlns:a16="http://schemas.microsoft.com/office/drawing/2014/main" id="{DA607D74-A79C-4C93-A0C3-1B8EDB7C4C35}"/>
            </a:ext>
          </a:extLst>
        </xdr:cNvPr>
        <xdr:cNvSpPr/>
      </xdr:nvSpPr>
      <xdr:spPr bwMode="auto">
        <a:xfrm>
          <a:off x="9753600" y="174548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82</xdr:row>
      <xdr:rowOff>119381</xdr:rowOff>
    </xdr:from>
    <xdr:to>
      <xdr:col>14</xdr:col>
      <xdr:colOff>63500</xdr:colOff>
      <xdr:row>83</xdr:row>
      <xdr:rowOff>1</xdr:rowOff>
    </xdr:to>
    <xdr:sp macro="" textlink="">
      <xdr:nvSpPr>
        <xdr:cNvPr id="418" name="nuNumber: 432" hidden="1">
          <a:extLst>
            <a:ext uri="{FF2B5EF4-FFF2-40B4-BE49-F238E27FC236}">
              <a16:creationId xmlns:a16="http://schemas.microsoft.com/office/drawing/2014/main" id="{6ED9E54F-072A-4D89-86E6-B9769C249032}"/>
            </a:ext>
          </a:extLst>
        </xdr:cNvPr>
        <xdr:cNvSpPr/>
      </xdr:nvSpPr>
      <xdr:spPr bwMode="auto">
        <a:xfrm>
          <a:off x="10515600" y="174548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82</xdr:row>
      <xdr:rowOff>119381</xdr:rowOff>
    </xdr:from>
    <xdr:to>
      <xdr:col>15</xdr:col>
      <xdr:colOff>63500</xdr:colOff>
      <xdr:row>83</xdr:row>
      <xdr:rowOff>1</xdr:rowOff>
    </xdr:to>
    <xdr:sp macro="" textlink="">
      <xdr:nvSpPr>
        <xdr:cNvPr id="419" name="nuNumber: 433" hidden="1">
          <a:extLst>
            <a:ext uri="{FF2B5EF4-FFF2-40B4-BE49-F238E27FC236}">
              <a16:creationId xmlns:a16="http://schemas.microsoft.com/office/drawing/2014/main" id="{0E3CD403-A384-44AF-A974-CEBB9A2BB891}"/>
            </a:ext>
          </a:extLst>
        </xdr:cNvPr>
        <xdr:cNvSpPr/>
      </xdr:nvSpPr>
      <xdr:spPr bwMode="auto">
        <a:xfrm>
          <a:off x="11325225" y="174548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82</xdr:row>
      <xdr:rowOff>119381</xdr:rowOff>
    </xdr:from>
    <xdr:to>
      <xdr:col>16</xdr:col>
      <xdr:colOff>63500</xdr:colOff>
      <xdr:row>83</xdr:row>
      <xdr:rowOff>1</xdr:rowOff>
    </xdr:to>
    <xdr:sp macro="" textlink="">
      <xdr:nvSpPr>
        <xdr:cNvPr id="420" name="nuNumber: 434" hidden="1">
          <a:extLst>
            <a:ext uri="{FF2B5EF4-FFF2-40B4-BE49-F238E27FC236}">
              <a16:creationId xmlns:a16="http://schemas.microsoft.com/office/drawing/2014/main" id="{CB204515-0FF1-4465-B5FE-B7D89CC72B61}"/>
            </a:ext>
          </a:extLst>
        </xdr:cNvPr>
        <xdr:cNvSpPr/>
      </xdr:nvSpPr>
      <xdr:spPr bwMode="auto">
        <a:xfrm>
          <a:off x="12106275" y="174548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82</xdr:row>
      <xdr:rowOff>119381</xdr:rowOff>
    </xdr:from>
    <xdr:to>
      <xdr:col>17</xdr:col>
      <xdr:colOff>63500</xdr:colOff>
      <xdr:row>83</xdr:row>
      <xdr:rowOff>1</xdr:rowOff>
    </xdr:to>
    <xdr:sp macro="" textlink="">
      <xdr:nvSpPr>
        <xdr:cNvPr id="421" name="nuNumber: 435" hidden="1">
          <a:extLst>
            <a:ext uri="{FF2B5EF4-FFF2-40B4-BE49-F238E27FC236}">
              <a16:creationId xmlns:a16="http://schemas.microsoft.com/office/drawing/2014/main" id="{8DF79CD5-7234-423C-A82A-FABDDACD31FE}"/>
            </a:ext>
          </a:extLst>
        </xdr:cNvPr>
        <xdr:cNvSpPr/>
      </xdr:nvSpPr>
      <xdr:spPr bwMode="auto">
        <a:xfrm>
          <a:off x="12887325" y="174548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82</xdr:row>
      <xdr:rowOff>119381</xdr:rowOff>
    </xdr:from>
    <xdr:to>
      <xdr:col>18</xdr:col>
      <xdr:colOff>63499</xdr:colOff>
      <xdr:row>83</xdr:row>
      <xdr:rowOff>1</xdr:rowOff>
    </xdr:to>
    <xdr:sp macro="" textlink="">
      <xdr:nvSpPr>
        <xdr:cNvPr id="422" name="nuNumber: 436" hidden="1">
          <a:extLst>
            <a:ext uri="{FF2B5EF4-FFF2-40B4-BE49-F238E27FC236}">
              <a16:creationId xmlns:a16="http://schemas.microsoft.com/office/drawing/2014/main" id="{DB1A7879-4647-40CE-AC35-AB39E45036A3}"/>
            </a:ext>
          </a:extLst>
        </xdr:cNvPr>
        <xdr:cNvSpPr/>
      </xdr:nvSpPr>
      <xdr:spPr bwMode="auto">
        <a:xfrm>
          <a:off x="13624559" y="17454881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82</xdr:row>
      <xdr:rowOff>119381</xdr:rowOff>
    </xdr:from>
    <xdr:to>
      <xdr:col>19</xdr:col>
      <xdr:colOff>63500</xdr:colOff>
      <xdr:row>83</xdr:row>
      <xdr:rowOff>1</xdr:rowOff>
    </xdr:to>
    <xdr:sp macro="" textlink="">
      <xdr:nvSpPr>
        <xdr:cNvPr id="423" name="nuNumber: 437" hidden="1">
          <a:extLst>
            <a:ext uri="{FF2B5EF4-FFF2-40B4-BE49-F238E27FC236}">
              <a16:creationId xmlns:a16="http://schemas.microsoft.com/office/drawing/2014/main" id="{15F1F6CF-0CC7-4146-B26E-BF6E53D9CB58}"/>
            </a:ext>
          </a:extLst>
        </xdr:cNvPr>
        <xdr:cNvSpPr/>
      </xdr:nvSpPr>
      <xdr:spPr bwMode="auto">
        <a:xfrm>
          <a:off x="14382750" y="174548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82</xdr:row>
      <xdr:rowOff>119381</xdr:rowOff>
    </xdr:from>
    <xdr:to>
      <xdr:col>20</xdr:col>
      <xdr:colOff>63500</xdr:colOff>
      <xdr:row>83</xdr:row>
      <xdr:rowOff>1</xdr:rowOff>
    </xdr:to>
    <xdr:sp macro="" textlink="">
      <xdr:nvSpPr>
        <xdr:cNvPr id="424" name="nuNumber: 438" hidden="1">
          <a:extLst>
            <a:ext uri="{FF2B5EF4-FFF2-40B4-BE49-F238E27FC236}">
              <a16:creationId xmlns:a16="http://schemas.microsoft.com/office/drawing/2014/main" id="{D12FB7F6-9984-4031-9553-41B6B4ABEED2}"/>
            </a:ext>
          </a:extLst>
        </xdr:cNvPr>
        <xdr:cNvSpPr/>
      </xdr:nvSpPr>
      <xdr:spPr bwMode="auto">
        <a:xfrm>
          <a:off x="15135225" y="174548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82</xdr:row>
      <xdr:rowOff>119381</xdr:rowOff>
    </xdr:from>
    <xdr:to>
      <xdr:col>21</xdr:col>
      <xdr:colOff>63500</xdr:colOff>
      <xdr:row>83</xdr:row>
      <xdr:rowOff>1</xdr:rowOff>
    </xdr:to>
    <xdr:sp macro="" textlink="">
      <xdr:nvSpPr>
        <xdr:cNvPr id="425" name="nuNumber: 439" hidden="1">
          <a:extLst>
            <a:ext uri="{FF2B5EF4-FFF2-40B4-BE49-F238E27FC236}">
              <a16:creationId xmlns:a16="http://schemas.microsoft.com/office/drawing/2014/main" id="{D44C1C3C-D5AB-4708-AA43-F44C1F7B9620}"/>
            </a:ext>
          </a:extLst>
        </xdr:cNvPr>
        <xdr:cNvSpPr/>
      </xdr:nvSpPr>
      <xdr:spPr bwMode="auto">
        <a:xfrm>
          <a:off x="15849600" y="174548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85</xdr:row>
      <xdr:rowOff>119380</xdr:rowOff>
    </xdr:from>
    <xdr:to>
      <xdr:col>8</xdr:col>
      <xdr:colOff>63500</xdr:colOff>
      <xdr:row>86</xdr:row>
      <xdr:rowOff>0</xdr:rowOff>
    </xdr:to>
    <xdr:sp macro="" textlink="">
      <xdr:nvSpPr>
        <xdr:cNvPr id="426" name="nuNumber: 440" hidden="1">
          <a:extLst>
            <a:ext uri="{FF2B5EF4-FFF2-40B4-BE49-F238E27FC236}">
              <a16:creationId xmlns:a16="http://schemas.microsoft.com/office/drawing/2014/main" id="{505A1E2E-0B65-4DA0-9FAA-8BEE98115825}"/>
            </a:ext>
          </a:extLst>
        </xdr:cNvPr>
        <xdr:cNvSpPr/>
      </xdr:nvSpPr>
      <xdr:spPr bwMode="auto">
        <a:xfrm>
          <a:off x="5562600" y="18083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85</xdr:row>
      <xdr:rowOff>119380</xdr:rowOff>
    </xdr:from>
    <xdr:to>
      <xdr:col>9</xdr:col>
      <xdr:colOff>63500</xdr:colOff>
      <xdr:row>86</xdr:row>
      <xdr:rowOff>0</xdr:rowOff>
    </xdr:to>
    <xdr:sp macro="" textlink="">
      <xdr:nvSpPr>
        <xdr:cNvPr id="427" name="nuNumber: 441" hidden="1">
          <a:extLst>
            <a:ext uri="{FF2B5EF4-FFF2-40B4-BE49-F238E27FC236}">
              <a16:creationId xmlns:a16="http://schemas.microsoft.com/office/drawing/2014/main" id="{BE446C20-2B26-4DAD-89F3-BDC55153188A}"/>
            </a:ext>
          </a:extLst>
        </xdr:cNvPr>
        <xdr:cNvSpPr/>
      </xdr:nvSpPr>
      <xdr:spPr bwMode="auto">
        <a:xfrm>
          <a:off x="6467475" y="18083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85</xdr:row>
      <xdr:rowOff>119380</xdr:rowOff>
    </xdr:from>
    <xdr:to>
      <xdr:col>10</xdr:col>
      <xdr:colOff>63500</xdr:colOff>
      <xdr:row>86</xdr:row>
      <xdr:rowOff>0</xdr:rowOff>
    </xdr:to>
    <xdr:sp macro="" textlink="">
      <xdr:nvSpPr>
        <xdr:cNvPr id="428" name="nuNumber: 442" hidden="1">
          <a:extLst>
            <a:ext uri="{FF2B5EF4-FFF2-40B4-BE49-F238E27FC236}">
              <a16:creationId xmlns:a16="http://schemas.microsoft.com/office/drawing/2014/main" id="{2DBF0085-E47C-4FF1-AA7F-7DFA8C2C9B4E}"/>
            </a:ext>
          </a:extLst>
        </xdr:cNvPr>
        <xdr:cNvSpPr/>
      </xdr:nvSpPr>
      <xdr:spPr bwMode="auto">
        <a:xfrm>
          <a:off x="7315200" y="18083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85</xdr:row>
      <xdr:rowOff>119380</xdr:rowOff>
    </xdr:from>
    <xdr:to>
      <xdr:col>11</xdr:col>
      <xdr:colOff>63500</xdr:colOff>
      <xdr:row>86</xdr:row>
      <xdr:rowOff>0</xdr:rowOff>
    </xdr:to>
    <xdr:sp macro="" textlink="">
      <xdr:nvSpPr>
        <xdr:cNvPr id="429" name="nuNumber: 443" hidden="1">
          <a:extLst>
            <a:ext uri="{FF2B5EF4-FFF2-40B4-BE49-F238E27FC236}">
              <a16:creationId xmlns:a16="http://schemas.microsoft.com/office/drawing/2014/main" id="{33F1BF0D-FAB8-43BB-AF72-9A50D7BCFD2B}"/>
            </a:ext>
          </a:extLst>
        </xdr:cNvPr>
        <xdr:cNvSpPr/>
      </xdr:nvSpPr>
      <xdr:spPr bwMode="auto">
        <a:xfrm>
          <a:off x="8105775" y="18083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85</xdr:row>
      <xdr:rowOff>119380</xdr:rowOff>
    </xdr:from>
    <xdr:to>
      <xdr:col>12</xdr:col>
      <xdr:colOff>63500</xdr:colOff>
      <xdr:row>86</xdr:row>
      <xdr:rowOff>0</xdr:rowOff>
    </xdr:to>
    <xdr:sp macro="" textlink="">
      <xdr:nvSpPr>
        <xdr:cNvPr id="430" name="nuNumber: 444" hidden="1">
          <a:extLst>
            <a:ext uri="{FF2B5EF4-FFF2-40B4-BE49-F238E27FC236}">
              <a16:creationId xmlns:a16="http://schemas.microsoft.com/office/drawing/2014/main" id="{C56F9DE5-5E75-4E6A-AEC3-6A9E9358A016}"/>
            </a:ext>
          </a:extLst>
        </xdr:cNvPr>
        <xdr:cNvSpPr/>
      </xdr:nvSpPr>
      <xdr:spPr bwMode="auto">
        <a:xfrm>
          <a:off x="8972550" y="18083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85</xdr:row>
      <xdr:rowOff>119380</xdr:rowOff>
    </xdr:from>
    <xdr:to>
      <xdr:col>13</xdr:col>
      <xdr:colOff>63500</xdr:colOff>
      <xdr:row>86</xdr:row>
      <xdr:rowOff>0</xdr:rowOff>
    </xdr:to>
    <xdr:sp macro="" textlink="">
      <xdr:nvSpPr>
        <xdr:cNvPr id="431" name="nuNumber: 445" hidden="1">
          <a:extLst>
            <a:ext uri="{FF2B5EF4-FFF2-40B4-BE49-F238E27FC236}">
              <a16:creationId xmlns:a16="http://schemas.microsoft.com/office/drawing/2014/main" id="{4985DB25-9498-4C03-B37C-7462CD9A56FA}"/>
            </a:ext>
          </a:extLst>
        </xdr:cNvPr>
        <xdr:cNvSpPr/>
      </xdr:nvSpPr>
      <xdr:spPr bwMode="auto">
        <a:xfrm>
          <a:off x="9753600" y="18083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85</xdr:row>
      <xdr:rowOff>119380</xdr:rowOff>
    </xdr:from>
    <xdr:to>
      <xdr:col>14</xdr:col>
      <xdr:colOff>63500</xdr:colOff>
      <xdr:row>86</xdr:row>
      <xdr:rowOff>0</xdr:rowOff>
    </xdr:to>
    <xdr:sp macro="" textlink="">
      <xdr:nvSpPr>
        <xdr:cNvPr id="432" name="nuNumber: 446" hidden="1">
          <a:extLst>
            <a:ext uri="{FF2B5EF4-FFF2-40B4-BE49-F238E27FC236}">
              <a16:creationId xmlns:a16="http://schemas.microsoft.com/office/drawing/2014/main" id="{12C2A831-834A-45D4-A8F1-53B1745FC523}"/>
            </a:ext>
          </a:extLst>
        </xdr:cNvPr>
        <xdr:cNvSpPr/>
      </xdr:nvSpPr>
      <xdr:spPr bwMode="auto">
        <a:xfrm>
          <a:off x="10515600" y="18083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85</xdr:row>
      <xdr:rowOff>119380</xdr:rowOff>
    </xdr:from>
    <xdr:to>
      <xdr:col>15</xdr:col>
      <xdr:colOff>63500</xdr:colOff>
      <xdr:row>86</xdr:row>
      <xdr:rowOff>0</xdr:rowOff>
    </xdr:to>
    <xdr:sp macro="" textlink="">
      <xdr:nvSpPr>
        <xdr:cNvPr id="433" name="nuNumber: 447" hidden="1">
          <a:extLst>
            <a:ext uri="{FF2B5EF4-FFF2-40B4-BE49-F238E27FC236}">
              <a16:creationId xmlns:a16="http://schemas.microsoft.com/office/drawing/2014/main" id="{166C5F62-B904-4A96-BDEB-D094433118F7}"/>
            </a:ext>
          </a:extLst>
        </xdr:cNvPr>
        <xdr:cNvSpPr/>
      </xdr:nvSpPr>
      <xdr:spPr bwMode="auto">
        <a:xfrm>
          <a:off x="11325225" y="18083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85</xdr:row>
      <xdr:rowOff>119380</xdr:rowOff>
    </xdr:from>
    <xdr:to>
      <xdr:col>16</xdr:col>
      <xdr:colOff>63500</xdr:colOff>
      <xdr:row>86</xdr:row>
      <xdr:rowOff>0</xdr:rowOff>
    </xdr:to>
    <xdr:sp macro="" textlink="">
      <xdr:nvSpPr>
        <xdr:cNvPr id="434" name="nuNumber: 448" hidden="1">
          <a:extLst>
            <a:ext uri="{FF2B5EF4-FFF2-40B4-BE49-F238E27FC236}">
              <a16:creationId xmlns:a16="http://schemas.microsoft.com/office/drawing/2014/main" id="{DC5D4AE6-2588-4388-A696-73F9DD2B8BCA}"/>
            </a:ext>
          </a:extLst>
        </xdr:cNvPr>
        <xdr:cNvSpPr/>
      </xdr:nvSpPr>
      <xdr:spPr bwMode="auto">
        <a:xfrm>
          <a:off x="12106275" y="18083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85</xdr:row>
      <xdr:rowOff>119380</xdr:rowOff>
    </xdr:from>
    <xdr:to>
      <xdr:col>17</xdr:col>
      <xdr:colOff>63500</xdr:colOff>
      <xdr:row>86</xdr:row>
      <xdr:rowOff>0</xdr:rowOff>
    </xdr:to>
    <xdr:sp macro="" textlink="">
      <xdr:nvSpPr>
        <xdr:cNvPr id="435" name="nuNumber: 449" hidden="1">
          <a:extLst>
            <a:ext uri="{FF2B5EF4-FFF2-40B4-BE49-F238E27FC236}">
              <a16:creationId xmlns:a16="http://schemas.microsoft.com/office/drawing/2014/main" id="{B1AF3615-7BFA-4E12-B45E-9B26A5B5296B}"/>
            </a:ext>
          </a:extLst>
        </xdr:cNvPr>
        <xdr:cNvSpPr/>
      </xdr:nvSpPr>
      <xdr:spPr bwMode="auto">
        <a:xfrm>
          <a:off x="12887325" y="18083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85</xdr:row>
      <xdr:rowOff>119380</xdr:rowOff>
    </xdr:from>
    <xdr:to>
      <xdr:col>18</xdr:col>
      <xdr:colOff>63499</xdr:colOff>
      <xdr:row>86</xdr:row>
      <xdr:rowOff>0</xdr:rowOff>
    </xdr:to>
    <xdr:sp macro="" textlink="">
      <xdr:nvSpPr>
        <xdr:cNvPr id="436" name="nuNumber: 450" hidden="1">
          <a:extLst>
            <a:ext uri="{FF2B5EF4-FFF2-40B4-BE49-F238E27FC236}">
              <a16:creationId xmlns:a16="http://schemas.microsoft.com/office/drawing/2014/main" id="{00C8BB63-B286-45C9-ADF6-6A3D039884DC}"/>
            </a:ext>
          </a:extLst>
        </xdr:cNvPr>
        <xdr:cNvSpPr/>
      </xdr:nvSpPr>
      <xdr:spPr bwMode="auto">
        <a:xfrm>
          <a:off x="13624559" y="1808353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85</xdr:row>
      <xdr:rowOff>119380</xdr:rowOff>
    </xdr:from>
    <xdr:to>
      <xdr:col>19</xdr:col>
      <xdr:colOff>63500</xdr:colOff>
      <xdr:row>86</xdr:row>
      <xdr:rowOff>0</xdr:rowOff>
    </xdr:to>
    <xdr:sp macro="" textlink="">
      <xdr:nvSpPr>
        <xdr:cNvPr id="437" name="nuNumber: 451" hidden="1">
          <a:extLst>
            <a:ext uri="{FF2B5EF4-FFF2-40B4-BE49-F238E27FC236}">
              <a16:creationId xmlns:a16="http://schemas.microsoft.com/office/drawing/2014/main" id="{2FCAE893-01C0-4C27-AE7C-B70B206DBEDE}"/>
            </a:ext>
          </a:extLst>
        </xdr:cNvPr>
        <xdr:cNvSpPr/>
      </xdr:nvSpPr>
      <xdr:spPr bwMode="auto">
        <a:xfrm>
          <a:off x="14382750" y="18083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85</xdr:row>
      <xdr:rowOff>119380</xdr:rowOff>
    </xdr:from>
    <xdr:to>
      <xdr:col>20</xdr:col>
      <xdr:colOff>63500</xdr:colOff>
      <xdr:row>86</xdr:row>
      <xdr:rowOff>0</xdr:rowOff>
    </xdr:to>
    <xdr:sp macro="" textlink="">
      <xdr:nvSpPr>
        <xdr:cNvPr id="438" name="nuNumber: 452" hidden="1">
          <a:extLst>
            <a:ext uri="{FF2B5EF4-FFF2-40B4-BE49-F238E27FC236}">
              <a16:creationId xmlns:a16="http://schemas.microsoft.com/office/drawing/2014/main" id="{3E7A4C2A-94C7-4A2E-B39B-D63B7ABE946F}"/>
            </a:ext>
          </a:extLst>
        </xdr:cNvPr>
        <xdr:cNvSpPr/>
      </xdr:nvSpPr>
      <xdr:spPr bwMode="auto">
        <a:xfrm>
          <a:off x="15135225" y="18083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85</xdr:row>
      <xdr:rowOff>119380</xdr:rowOff>
    </xdr:from>
    <xdr:to>
      <xdr:col>21</xdr:col>
      <xdr:colOff>63500</xdr:colOff>
      <xdr:row>86</xdr:row>
      <xdr:rowOff>0</xdr:rowOff>
    </xdr:to>
    <xdr:sp macro="" textlink="">
      <xdr:nvSpPr>
        <xdr:cNvPr id="439" name="nuNumber: 453" hidden="1">
          <a:extLst>
            <a:ext uri="{FF2B5EF4-FFF2-40B4-BE49-F238E27FC236}">
              <a16:creationId xmlns:a16="http://schemas.microsoft.com/office/drawing/2014/main" id="{D8E1BF27-3142-492A-8FF6-76594407CE04}"/>
            </a:ext>
          </a:extLst>
        </xdr:cNvPr>
        <xdr:cNvSpPr/>
      </xdr:nvSpPr>
      <xdr:spPr bwMode="auto">
        <a:xfrm>
          <a:off x="15849600" y="18083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86</xdr:row>
      <xdr:rowOff>119380</xdr:rowOff>
    </xdr:from>
    <xdr:to>
      <xdr:col>10</xdr:col>
      <xdr:colOff>63500</xdr:colOff>
      <xdr:row>87</xdr:row>
      <xdr:rowOff>0</xdr:rowOff>
    </xdr:to>
    <xdr:sp macro="" textlink="">
      <xdr:nvSpPr>
        <xdr:cNvPr id="440" name="nuNumber: 454" hidden="1">
          <a:extLst>
            <a:ext uri="{FF2B5EF4-FFF2-40B4-BE49-F238E27FC236}">
              <a16:creationId xmlns:a16="http://schemas.microsoft.com/office/drawing/2014/main" id="{745FF346-C425-4275-9F15-8E27CE29A09C}"/>
            </a:ext>
          </a:extLst>
        </xdr:cNvPr>
        <xdr:cNvSpPr/>
      </xdr:nvSpPr>
      <xdr:spPr bwMode="auto">
        <a:xfrm>
          <a:off x="7315200" y="18293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86</xdr:row>
      <xdr:rowOff>119380</xdr:rowOff>
    </xdr:from>
    <xdr:to>
      <xdr:col>11</xdr:col>
      <xdr:colOff>63500</xdr:colOff>
      <xdr:row>87</xdr:row>
      <xdr:rowOff>0</xdr:rowOff>
    </xdr:to>
    <xdr:sp macro="" textlink="">
      <xdr:nvSpPr>
        <xdr:cNvPr id="441" name="nuNumber: 455" hidden="1">
          <a:extLst>
            <a:ext uri="{FF2B5EF4-FFF2-40B4-BE49-F238E27FC236}">
              <a16:creationId xmlns:a16="http://schemas.microsoft.com/office/drawing/2014/main" id="{F8DF2727-F21F-48D9-8465-C0226896F5FC}"/>
            </a:ext>
          </a:extLst>
        </xdr:cNvPr>
        <xdr:cNvSpPr/>
      </xdr:nvSpPr>
      <xdr:spPr bwMode="auto">
        <a:xfrm>
          <a:off x="8105775" y="18293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86</xdr:row>
      <xdr:rowOff>119380</xdr:rowOff>
    </xdr:from>
    <xdr:to>
      <xdr:col>12</xdr:col>
      <xdr:colOff>63500</xdr:colOff>
      <xdr:row>87</xdr:row>
      <xdr:rowOff>0</xdr:rowOff>
    </xdr:to>
    <xdr:sp macro="" textlink="">
      <xdr:nvSpPr>
        <xdr:cNvPr id="442" name="nuNumber: 456" hidden="1">
          <a:extLst>
            <a:ext uri="{FF2B5EF4-FFF2-40B4-BE49-F238E27FC236}">
              <a16:creationId xmlns:a16="http://schemas.microsoft.com/office/drawing/2014/main" id="{719DEBBD-DB75-4320-B6B8-BD8FE54BFB8A}"/>
            </a:ext>
          </a:extLst>
        </xdr:cNvPr>
        <xdr:cNvSpPr/>
      </xdr:nvSpPr>
      <xdr:spPr bwMode="auto">
        <a:xfrm>
          <a:off x="8972550" y="18293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86</xdr:row>
      <xdr:rowOff>119380</xdr:rowOff>
    </xdr:from>
    <xdr:to>
      <xdr:col>13</xdr:col>
      <xdr:colOff>63500</xdr:colOff>
      <xdr:row>87</xdr:row>
      <xdr:rowOff>0</xdr:rowOff>
    </xdr:to>
    <xdr:sp macro="" textlink="">
      <xdr:nvSpPr>
        <xdr:cNvPr id="443" name="nuNumber: 457" hidden="1">
          <a:extLst>
            <a:ext uri="{FF2B5EF4-FFF2-40B4-BE49-F238E27FC236}">
              <a16:creationId xmlns:a16="http://schemas.microsoft.com/office/drawing/2014/main" id="{A7D647DF-CB33-416D-96F9-B428CB16EB91}"/>
            </a:ext>
          </a:extLst>
        </xdr:cNvPr>
        <xdr:cNvSpPr/>
      </xdr:nvSpPr>
      <xdr:spPr bwMode="auto">
        <a:xfrm>
          <a:off x="9753600" y="18293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86</xdr:row>
      <xdr:rowOff>119380</xdr:rowOff>
    </xdr:from>
    <xdr:to>
      <xdr:col>14</xdr:col>
      <xdr:colOff>63500</xdr:colOff>
      <xdr:row>87</xdr:row>
      <xdr:rowOff>0</xdr:rowOff>
    </xdr:to>
    <xdr:sp macro="" textlink="">
      <xdr:nvSpPr>
        <xdr:cNvPr id="444" name="nuNumber: 458" hidden="1">
          <a:extLst>
            <a:ext uri="{FF2B5EF4-FFF2-40B4-BE49-F238E27FC236}">
              <a16:creationId xmlns:a16="http://schemas.microsoft.com/office/drawing/2014/main" id="{4BD96DC7-B980-4F9B-97A7-6032A96827A9}"/>
            </a:ext>
          </a:extLst>
        </xdr:cNvPr>
        <xdr:cNvSpPr/>
      </xdr:nvSpPr>
      <xdr:spPr bwMode="auto">
        <a:xfrm>
          <a:off x="10515600" y="18293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86</xdr:row>
      <xdr:rowOff>119380</xdr:rowOff>
    </xdr:from>
    <xdr:to>
      <xdr:col>15</xdr:col>
      <xdr:colOff>63500</xdr:colOff>
      <xdr:row>87</xdr:row>
      <xdr:rowOff>0</xdr:rowOff>
    </xdr:to>
    <xdr:sp macro="" textlink="">
      <xdr:nvSpPr>
        <xdr:cNvPr id="445" name="nuNumber: 459" hidden="1">
          <a:extLst>
            <a:ext uri="{FF2B5EF4-FFF2-40B4-BE49-F238E27FC236}">
              <a16:creationId xmlns:a16="http://schemas.microsoft.com/office/drawing/2014/main" id="{68DC53E3-7E39-454A-835A-052AC4732246}"/>
            </a:ext>
          </a:extLst>
        </xdr:cNvPr>
        <xdr:cNvSpPr/>
      </xdr:nvSpPr>
      <xdr:spPr bwMode="auto">
        <a:xfrm>
          <a:off x="11325225" y="18293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86</xdr:row>
      <xdr:rowOff>119380</xdr:rowOff>
    </xdr:from>
    <xdr:to>
      <xdr:col>16</xdr:col>
      <xdr:colOff>63500</xdr:colOff>
      <xdr:row>87</xdr:row>
      <xdr:rowOff>0</xdr:rowOff>
    </xdr:to>
    <xdr:sp macro="" textlink="">
      <xdr:nvSpPr>
        <xdr:cNvPr id="446" name="nuNumber: 460" hidden="1">
          <a:extLst>
            <a:ext uri="{FF2B5EF4-FFF2-40B4-BE49-F238E27FC236}">
              <a16:creationId xmlns:a16="http://schemas.microsoft.com/office/drawing/2014/main" id="{AE431EBE-0CE3-449B-B532-0A5FF3EDE8E5}"/>
            </a:ext>
          </a:extLst>
        </xdr:cNvPr>
        <xdr:cNvSpPr/>
      </xdr:nvSpPr>
      <xdr:spPr bwMode="auto">
        <a:xfrm>
          <a:off x="12106275" y="18293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86</xdr:row>
      <xdr:rowOff>119380</xdr:rowOff>
    </xdr:from>
    <xdr:to>
      <xdr:col>17</xdr:col>
      <xdr:colOff>63500</xdr:colOff>
      <xdr:row>87</xdr:row>
      <xdr:rowOff>0</xdr:rowOff>
    </xdr:to>
    <xdr:sp macro="" textlink="">
      <xdr:nvSpPr>
        <xdr:cNvPr id="447" name="nuNumber: 461" hidden="1">
          <a:extLst>
            <a:ext uri="{FF2B5EF4-FFF2-40B4-BE49-F238E27FC236}">
              <a16:creationId xmlns:a16="http://schemas.microsoft.com/office/drawing/2014/main" id="{DDCBF855-9960-4D78-AA4A-7913D7110102}"/>
            </a:ext>
          </a:extLst>
        </xdr:cNvPr>
        <xdr:cNvSpPr/>
      </xdr:nvSpPr>
      <xdr:spPr bwMode="auto">
        <a:xfrm>
          <a:off x="12887325" y="18293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86</xdr:row>
      <xdr:rowOff>119380</xdr:rowOff>
    </xdr:from>
    <xdr:to>
      <xdr:col>18</xdr:col>
      <xdr:colOff>63499</xdr:colOff>
      <xdr:row>87</xdr:row>
      <xdr:rowOff>0</xdr:rowOff>
    </xdr:to>
    <xdr:sp macro="" textlink="">
      <xdr:nvSpPr>
        <xdr:cNvPr id="448" name="nuNumber: 462" hidden="1">
          <a:extLst>
            <a:ext uri="{FF2B5EF4-FFF2-40B4-BE49-F238E27FC236}">
              <a16:creationId xmlns:a16="http://schemas.microsoft.com/office/drawing/2014/main" id="{02D3F6CB-9612-43D9-9309-95176DDF88C4}"/>
            </a:ext>
          </a:extLst>
        </xdr:cNvPr>
        <xdr:cNvSpPr/>
      </xdr:nvSpPr>
      <xdr:spPr bwMode="auto">
        <a:xfrm>
          <a:off x="13624559" y="1829308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86</xdr:row>
      <xdr:rowOff>119380</xdr:rowOff>
    </xdr:from>
    <xdr:to>
      <xdr:col>19</xdr:col>
      <xdr:colOff>63500</xdr:colOff>
      <xdr:row>87</xdr:row>
      <xdr:rowOff>0</xdr:rowOff>
    </xdr:to>
    <xdr:sp macro="" textlink="">
      <xdr:nvSpPr>
        <xdr:cNvPr id="449" name="nuNumber: 463" hidden="1">
          <a:extLst>
            <a:ext uri="{FF2B5EF4-FFF2-40B4-BE49-F238E27FC236}">
              <a16:creationId xmlns:a16="http://schemas.microsoft.com/office/drawing/2014/main" id="{10C24D80-5BD7-4082-B6E8-126686BDB046}"/>
            </a:ext>
          </a:extLst>
        </xdr:cNvPr>
        <xdr:cNvSpPr/>
      </xdr:nvSpPr>
      <xdr:spPr bwMode="auto">
        <a:xfrm>
          <a:off x="14382750" y="18293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86</xdr:row>
      <xdr:rowOff>119380</xdr:rowOff>
    </xdr:from>
    <xdr:to>
      <xdr:col>20</xdr:col>
      <xdr:colOff>63500</xdr:colOff>
      <xdr:row>87</xdr:row>
      <xdr:rowOff>0</xdr:rowOff>
    </xdr:to>
    <xdr:sp macro="" textlink="">
      <xdr:nvSpPr>
        <xdr:cNvPr id="450" name="nuNumber: 464" hidden="1">
          <a:extLst>
            <a:ext uri="{FF2B5EF4-FFF2-40B4-BE49-F238E27FC236}">
              <a16:creationId xmlns:a16="http://schemas.microsoft.com/office/drawing/2014/main" id="{C5B07778-F7D6-4779-85B6-CAD2005BB59C}"/>
            </a:ext>
          </a:extLst>
        </xdr:cNvPr>
        <xdr:cNvSpPr/>
      </xdr:nvSpPr>
      <xdr:spPr bwMode="auto">
        <a:xfrm>
          <a:off x="15135225" y="18293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86</xdr:row>
      <xdr:rowOff>119380</xdr:rowOff>
    </xdr:from>
    <xdr:to>
      <xdr:col>21</xdr:col>
      <xdr:colOff>63500</xdr:colOff>
      <xdr:row>87</xdr:row>
      <xdr:rowOff>0</xdr:rowOff>
    </xdr:to>
    <xdr:sp macro="" textlink="">
      <xdr:nvSpPr>
        <xdr:cNvPr id="451" name="nuNumber: 465" hidden="1">
          <a:extLst>
            <a:ext uri="{FF2B5EF4-FFF2-40B4-BE49-F238E27FC236}">
              <a16:creationId xmlns:a16="http://schemas.microsoft.com/office/drawing/2014/main" id="{99E6079E-2309-4293-AC3A-AAB97C67C8F4}"/>
            </a:ext>
          </a:extLst>
        </xdr:cNvPr>
        <xdr:cNvSpPr/>
      </xdr:nvSpPr>
      <xdr:spPr bwMode="auto">
        <a:xfrm>
          <a:off x="15849600" y="18293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88</xdr:row>
      <xdr:rowOff>119379</xdr:rowOff>
    </xdr:from>
    <xdr:to>
      <xdr:col>10</xdr:col>
      <xdr:colOff>63500</xdr:colOff>
      <xdr:row>88</xdr:row>
      <xdr:rowOff>182879</xdr:rowOff>
    </xdr:to>
    <xdr:sp macro="" textlink="">
      <xdr:nvSpPr>
        <xdr:cNvPr id="452" name="nuNumber: 466" hidden="1">
          <a:extLst>
            <a:ext uri="{FF2B5EF4-FFF2-40B4-BE49-F238E27FC236}">
              <a16:creationId xmlns:a16="http://schemas.microsoft.com/office/drawing/2014/main" id="{BDA53691-7415-4C35-BA43-705B29724ED5}"/>
            </a:ext>
          </a:extLst>
        </xdr:cNvPr>
        <xdr:cNvSpPr/>
      </xdr:nvSpPr>
      <xdr:spPr bwMode="auto">
        <a:xfrm>
          <a:off x="7315200" y="18712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88</xdr:row>
      <xdr:rowOff>119379</xdr:rowOff>
    </xdr:from>
    <xdr:to>
      <xdr:col>12</xdr:col>
      <xdr:colOff>63500</xdr:colOff>
      <xdr:row>88</xdr:row>
      <xdr:rowOff>182879</xdr:rowOff>
    </xdr:to>
    <xdr:sp macro="" textlink="">
      <xdr:nvSpPr>
        <xdr:cNvPr id="453" name="nuNumber: 467" hidden="1">
          <a:extLst>
            <a:ext uri="{FF2B5EF4-FFF2-40B4-BE49-F238E27FC236}">
              <a16:creationId xmlns:a16="http://schemas.microsoft.com/office/drawing/2014/main" id="{80208830-9ECA-4755-ABBA-2498EC63EF03}"/>
            </a:ext>
          </a:extLst>
        </xdr:cNvPr>
        <xdr:cNvSpPr/>
      </xdr:nvSpPr>
      <xdr:spPr bwMode="auto">
        <a:xfrm>
          <a:off x="8972550" y="18712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88</xdr:row>
      <xdr:rowOff>119379</xdr:rowOff>
    </xdr:from>
    <xdr:to>
      <xdr:col>13</xdr:col>
      <xdr:colOff>63500</xdr:colOff>
      <xdr:row>88</xdr:row>
      <xdr:rowOff>182879</xdr:rowOff>
    </xdr:to>
    <xdr:sp macro="" textlink="">
      <xdr:nvSpPr>
        <xdr:cNvPr id="454" name="nuNumber: 468" hidden="1">
          <a:extLst>
            <a:ext uri="{FF2B5EF4-FFF2-40B4-BE49-F238E27FC236}">
              <a16:creationId xmlns:a16="http://schemas.microsoft.com/office/drawing/2014/main" id="{36DFE5D0-2E6F-4F06-93FD-F7126AD73CE2}"/>
            </a:ext>
          </a:extLst>
        </xdr:cNvPr>
        <xdr:cNvSpPr/>
      </xdr:nvSpPr>
      <xdr:spPr bwMode="auto">
        <a:xfrm>
          <a:off x="9753600" y="18712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88</xdr:row>
      <xdr:rowOff>119379</xdr:rowOff>
    </xdr:from>
    <xdr:to>
      <xdr:col>14</xdr:col>
      <xdr:colOff>63500</xdr:colOff>
      <xdr:row>88</xdr:row>
      <xdr:rowOff>182879</xdr:rowOff>
    </xdr:to>
    <xdr:sp macro="" textlink="">
      <xdr:nvSpPr>
        <xdr:cNvPr id="455" name="nuNumber: 469" hidden="1">
          <a:extLst>
            <a:ext uri="{FF2B5EF4-FFF2-40B4-BE49-F238E27FC236}">
              <a16:creationId xmlns:a16="http://schemas.microsoft.com/office/drawing/2014/main" id="{F5751D9F-AA0B-4EC7-BD95-78A7F2EE6918}"/>
            </a:ext>
          </a:extLst>
        </xdr:cNvPr>
        <xdr:cNvSpPr/>
      </xdr:nvSpPr>
      <xdr:spPr bwMode="auto">
        <a:xfrm>
          <a:off x="10515600" y="18712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88</xdr:row>
      <xdr:rowOff>119379</xdr:rowOff>
    </xdr:from>
    <xdr:to>
      <xdr:col>15</xdr:col>
      <xdr:colOff>63500</xdr:colOff>
      <xdr:row>88</xdr:row>
      <xdr:rowOff>182879</xdr:rowOff>
    </xdr:to>
    <xdr:sp macro="" textlink="">
      <xdr:nvSpPr>
        <xdr:cNvPr id="456" name="nuNumber: 470" hidden="1">
          <a:extLst>
            <a:ext uri="{FF2B5EF4-FFF2-40B4-BE49-F238E27FC236}">
              <a16:creationId xmlns:a16="http://schemas.microsoft.com/office/drawing/2014/main" id="{B7E0E808-D700-4807-ADD4-CBA182C2B94C}"/>
            </a:ext>
          </a:extLst>
        </xdr:cNvPr>
        <xdr:cNvSpPr/>
      </xdr:nvSpPr>
      <xdr:spPr bwMode="auto">
        <a:xfrm>
          <a:off x="11325225" y="18712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88</xdr:row>
      <xdr:rowOff>119379</xdr:rowOff>
    </xdr:from>
    <xdr:to>
      <xdr:col>16</xdr:col>
      <xdr:colOff>63500</xdr:colOff>
      <xdr:row>88</xdr:row>
      <xdr:rowOff>182879</xdr:rowOff>
    </xdr:to>
    <xdr:sp macro="" textlink="">
      <xdr:nvSpPr>
        <xdr:cNvPr id="457" name="nuNumber: 471" hidden="1">
          <a:extLst>
            <a:ext uri="{FF2B5EF4-FFF2-40B4-BE49-F238E27FC236}">
              <a16:creationId xmlns:a16="http://schemas.microsoft.com/office/drawing/2014/main" id="{4CC0069E-BC3A-416D-A91D-C4866237E871}"/>
            </a:ext>
          </a:extLst>
        </xdr:cNvPr>
        <xdr:cNvSpPr/>
      </xdr:nvSpPr>
      <xdr:spPr bwMode="auto">
        <a:xfrm>
          <a:off x="12106275" y="18712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88</xdr:row>
      <xdr:rowOff>119379</xdr:rowOff>
    </xdr:from>
    <xdr:to>
      <xdr:col>17</xdr:col>
      <xdr:colOff>63500</xdr:colOff>
      <xdr:row>88</xdr:row>
      <xdr:rowOff>182879</xdr:rowOff>
    </xdr:to>
    <xdr:sp macro="" textlink="">
      <xdr:nvSpPr>
        <xdr:cNvPr id="458" name="nuNumber: 472" hidden="1">
          <a:extLst>
            <a:ext uri="{FF2B5EF4-FFF2-40B4-BE49-F238E27FC236}">
              <a16:creationId xmlns:a16="http://schemas.microsoft.com/office/drawing/2014/main" id="{B61188B6-BCAE-49EF-A1F9-6AF972D17720}"/>
            </a:ext>
          </a:extLst>
        </xdr:cNvPr>
        <xdr:cNvSpPr/>
      </xdr:nvSpPr>
      <xdr:spPr bwMode="auto">
        <a:xfrm>
          <a:off x="12887325" y="18712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88</xdr:row>
      <xdr:rowOff>119379</xdr:rowOff>
    </xdr:from>
    <xdr:to>
      <xdr:col>18</xdr:col>
      <xdr:colOff>63499</xdr:colOff>
      <xdr:row>88</xdr:row>
      <xdr:rowOff>182879</xdr:rowOff>
    </xdr:to>
    <xdr:sp macro="" textlink="">
      <xdr:nvSpPr>
        <xdr:cNvPr id="459" name="nuNumber: 473" hidden="1">
          <a:extLst>
            <a:ext uri="{FF2B5EF4-FFF2-40B4-BE49-F238E27FC236}">
              <a16:creationId xmlns:a16="http://schemas.microsoft.com/office/drawing/2014/main" id="{55A92126-6F9C-4225-B2AC-10CA6C141F16}"/>
            </a:ext>
          </a:extLst>
        </xdr:cNvPr>
        <xdr:cNvSpPr/>
      </xdr:nvSpPr>
      <xdr:spPr bwMode="auto">
        <a:xfrm>
          <a:off x="13624559" y="18712179"/>
          <a:ext cx="5969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88</xdr:row>
      <xdr:rowOff>119379</xdr:rowOff>
    </xdr:from>
    <xdr:to>
      <xdr:col>19</xdr:col>
      <xdr:colOff>63500</xdr:colOff>
      <xdr:row>88</xdr:row>
      <xdr:rowOff>182879</xdr:rowOff>
    </xdr:to>
    <xdr:sp macro="" textlink="">
      <xdr:nvSpPr>
        <xdr:cNvPr id="460" name="nuNumber: 474" hidden="1">
          <a:extLst>
            <a:ext uri="{FF2B5EF4-FFF2-40B4-BE49-F238E27FC236}">
              <a16:creationId xmlns:a16="http://schemas.microsoft.com/office/drawing/2014/main" id="{AAE7CC07-7242-4647-A744-71C363177726}"/>
            </a:ext>
          </a:extLst>
        </xdr:cNvPr>
        <xdr:cNvSpPr/>
      </xdr:nvSpPr>
      <xdr:spPr bwMode="auto">
        <a:xfrm>
          <a:off x="14382750" y="18712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88</xdr:row>
      <xdr:rowOff>119379</xdr:rowOff>
    </xdr:from>
    <xdr:to>
      <xdr:col>20</xdr:col>
      <xdr:colOff>63500</xdr:colOff>
      <xdr:row>88</xdr:row>
      <xdr:rowOff>182879</xdr:rowOff>
    </xdr:to>
    <xdr:sp macro="" textlink="">
      <xdr:nvSpPr>
        <xdr:cNvPr id="461" name="nuNumber: 475" hidden="1">
          <a:extLst>
            <a:ext uri="{FF2B5EF4-FFF2-40B4-BE49-F238E27FC236}">
              <a16:creationId xmlns:a16="http://schemas.microsoft.com/office/drawing/2014/main" id="{703B93EA-D84F-4A3C-BA78-E2287AC3D505}"/>
            </a:ext>
          </a:extLst>
        </xdr:cNvPr>
        <xdr:cNvSpPr/>
      </xdr:nvSpPr>
      <xdr:spPr bwMode="auto">
        <a:xfrm>
          <a:off x="15135225" y="18712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89</xdr:row>
      <xdr:rowOff>119380</xdr:rowOff>
    </xdr:from>
    <xdr:to>
      <xdr:col>10</xdr:col>
      <xdr:colOff>63500</xdr:colOff>
      <xdr:row>90</xdr:row>
      <xdr:rowOff>0</xdr:rowOff>
    </xdr:to>
    <xdr:sp macro="" textlink="">
      <xdr:nvSpPr>
        <xdr:cNvPr id="462" name="nuNumber: 476" hidden="1">
          <a:extLst>
            <a:ext uri="{FF2B5EF4-FFF2-40B4-BE49-F238E27FC236}">
              <a16:creationId xmlns:a16="http://schemas.microsoft.com/office/drawing/2014/main" id="{3DD937C3-1957-43BB-A6EB-71E010C1802D}"/>
            </a:ext>
          </a:extLst>
        </xdr:cNvPr>
        <xdr:cNvSpPr/>
      </xdr:nvSpPr>
      <xdr:spPr bwMode="auto">
        <a:xfrm>
          <a:off x="7315200" y="18921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89</xdr:row>
      <xdr:rowOff>119380</xdr:rowOff>
    </xdr:from>
    <xdr:to>
      <xdr:col>11</xdr:col>
      <xdr:colOff>63500</xdr:colOff>
      <xdr:row>90</xdr:row>
      <xdr:rowOff>0</xdr:rowOff>
    </xdr:to>
    <xdr:sp macro="" textlink="">
      <xdr:nvSpPr>
        <xdr:cNvPr id="463" name="nuNumber: 477" hidden="1">
          <a:extLst>
            <a:ext uri="{FF2B5EF4-FFF2-40B4-BE49-F238E27FC236}">
              <a16:creationId xmlns:a16="http://schemas.microsoft.com/office/drawing/2014/main" id="{56B4C601-6F1D-4CEA-A604-4F956FD36C5A}"/>
            </a:ext>
          </a:extLst>
        </xdr:cNvPr>
        <xdr:cNvSpPr/>
      </xdr:nvSpPr>
      <xdr:spPr bwMode="auto">
        <a:xfrm>
          <a:off x="8105775" y="18921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89</xdr:row>
      <xdr:rowOff>119380</xdr:rowOff>
    </xdr:from>
    <xdr:to>
      <xdr:col>12</xdr:col>
      <xdr:colOff>63500</xdr:colOff>
      <xdr:row>90</xdr:row>
      <xdr:rowOff>0</xdr:rowOff>
    </xdr:to>
    <xdr:sp macro="" textlink="">
      <xdr:nvSpPr>
        <xdr:cNvPr id="464" name="nuNumber: 478" hidden="1">
          <a:extLst>
            <a:ext uri="{FF2B5EF4-FFF2-40B4-BE49-F238E27FC236}">
              <a16:creationId xmlns:a16="http://schemas.microsoft.com/office/drawing/2014/main" id="{C55C5060-6CFC-43B0-B328-21DB6EFD4168}"/>
            </a:ext>
          </a:extLst>
        </xdr:cNvPr>
        <xdr:cNvSpPr/>
      </xdr:nvSpPr>
      <xdr:spPr bwMode="auto">
        <a:xfrm>
          <a:off x="8972550" y="18921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89</xdr:row>
      <xdr:rowOff>119380</xdr:rowOff>
    </xdr:from>
    <xdr:to>
      <xdr:col>13</xdr:col>
      <xdr:colOff>63500</xdr:colOff>
      <xdr:row>90</xdr:row>
      <xdr:rowOff>0</xdr:rowOff>
    </xdr:to>
    <xdr:sp macro="" textlink="">
      <xdr:nvSpPr>
        <xdr:cNvPr id="465" name="nuNumber: 479" hidden="1">
          <a:extLst>
            <a:ext uri="{FF2B5EF4-FFF2-40B4-BE49-F238E27FC236}">
              <a16:creationId xmlns:a16="http://schemas.microsoft.com/office/drawing/2014/main" id="{075902DF-0944-4003-BF4B-41BDA4BC2142}"/>
            </a:ext>
          </a:extLst>
        </xdr:cNvPr>
        <xdr:cNvSpPr/>
      </xdr:nvSpPr>
      <xdr:spPr bwMode="auto">
        <a:xfrm>
          <a:off x="9753600" y="18921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89</xdr:row>
      <xdr:rowOff>119380</xdr:rowOff>
    </xdr:from>
    <xdr:to>
      <xdr:col>14</xdr:col>
      <xdr:colOff>63500</xdr:colOff>
      <xdr:row>90</xdr:row>
      <xdr:rowOff>0</xdr:rowOff>
    </xdr:to>
    <xdr:sp macro="" textlink="">
      <xdr:nvSpPr>
        <xdr:cNvPr id="466" name="nuNumber: 480" hidden="1">
          <a:extLst>
            <a:ext uri="{FF2B5EF4-FFF2-40B4-BE49-F238E27FC236}">
              <a16:creationId xmlns:a16="http://schemas.microsoft.com/office/drawing/2014/main" id="{B257B3EC-5C55-4071-BADA-5320B93A0CD6}"/>
            </a:ext>
          </a:extLst>
        </xdr:cNvPr>
        <xdr:cNvSpPr/>
      </xdr:nvSpPr>
      <xdr:spPr bwMode="auto">
        <a:xfrm>
          <a:off x="10515600" y="18921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89</xdr:row>
      <xdr:rowOff>119380</xdr:rowOff>
    </xdr:from>
    <xdr:to>
      <xdr:col>15</xdr:col>
      <xdr:colOff>63500</xdr:colOff>
      <xdr:row>90</xdr:row>
      <xdr:rowOff>0</xdr:rowOff>
    </xdr:to>
    <xdr:sp macro="" textlink="">
      <xdr:nvSpPr>
        <xdr:cNvPr id="467" name="nuNumber: 481" hidden="1">
          <a:extLst>
            <a:ext uri="{FF2B5EF4-FFF2-40B4-BE49-F238E27FC236}">
              <a16:creationId xmlns:a16="http://schemas.microsoft.com/office/drawing/2014/main" id="{8730699F-41CD-4A78-8809-3D8E229C94CA}"/>
            </a:ext>
          </a:extLst>
        </xdr:cNvPr>
        <xdr:cNvSpPr/>
      </xdr:nvSpPr>
      <xdr:spPr bwMode="auto">
        <a:xfrm>
          <a:off x="11325225" y="18921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89</xdr:row>
      <xdr:rowOff>119380</xdr:rowOff>
    </xdr:from>
    <xdr:to>
      <xdr:col>16</xdr:col>
      <xdr:colOff>63500</xdr:colOff>
      <xdr:row>90</xdr:row>
      <xdr:rowOff>0</xdr:rowOff>
    </xdr:to>
    <xdr:sp macro="" textlink="">
      <xdr:nvSpPr>
        <xdr:cNvPr id="468" name="nuNumber: 482" hidden="1">
          <a:extLst>
            <a:ext uri="{FF2B5EF4-FFF2-40B4-BE49-F238E27FC236}">
              <a16:creationId xmlns:a16="http://schemas.microsoft.com/office/drawing/2014/main" id="{F93A50C2-7100-48CD-9379-6F2FB8C97E92}"/>
            </a:ext>
          </a:extLst>
        </xdr:cNvPr>
        <xdr:cNvSpPr/>
      </xdr:nvSpPr>
      <xdr:spPr bwMode="auto">
        <a:xfrm>
          <a:off x="12106275" y="18921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89</xdr:row>
      <xdr:rowOff>119380</xdr:rowOff>
    </xdr:from>
    <xdr:to>
      <xdr:col>17</xdr:col>
      <xdr:colOff>63500</xdr:colOff>
      <xdr:row>90</xdr:row>
      <xdr:rowOff>0</xdr:rowOff>
    </xdr:to>
    <xdr:sp macro="" textlink="">
      <xdr:nvSpPr>
        <xdr:cNvPr id="469" name="nuNumber: 483" hidden="1">
          <a:extLst>
            <a:ext uri="{FF2B5EF4-FFF2-40B4-BE49-F238E27FC236}">
              <a16:creationId xmlns:a16="http://schemas.microsoft.com/office/drawing/2014/main" id="{B76301B4-9B16-402E-8D1B-021BCC69839A}"/>
            </a:ext>
          </a:extLst>
        </xdr:cNvPr>
        <xdr:cNvSpPr/>
      </xdr:nvSpPr>
      <xdr:spPr bwMode="auto">
        <a:xfrm>
          <a:off x="12887325" y="18921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89</xdr:row>
      <xdr:rowOff>119380</xdr:rowOff>
    </xdr:from>
    <xdr:to>
      <xdr:col>18</xdr:col>
      <xdr:colOff>63499</xdr:colOff>
      <xdr:row>90</xdr:row>
      <xdr:rowOff>0</xdr:rowOff>
    </xdr:to>
    <xdr:sp macro="" textlink="">
      <xdr:nvSpPr>
        <xdr:cNvPr id="470" name="nuNumber: 484" hidden="1">
          <a:extLst>
            <a:ext uri="{FF2B5EF4-FFF2-40B4-BE49-F238E27FC236}">
              <a16:creationId xmlns:a16="http://schemas.microsoft.com/office/drawing/2014/main" id="{95058336-44C0-4E1A-9B5E-891D2268366C}"/>
            </a:ext>
          </a:extLst>
        </xdr:cNvPr>
        <xdr:cNvSpPr/>
      </xdr:nvSpPr>
      <xdr:spPr bwMode="auto">
        <a:xfrm>
          <a:off x="13624559" y="1892173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89</xdr:row>
      <xdr:rowOff>119380</xdr:rowOff>
    </xdr:from>
    <xdr:to>
      <xdr:col>19</xdr:col>
      <xdr:colOff>63500</xdr:colOff>
      <xdr:row>90</xdr:row>
      <xdr:rowOff>0</xdr:rowOff>
    </xdr:to>
    <xdr:sp macro="" textlink="">
      <xdr:nvSpPr>
        <xdr:cNvPr id="471" name="nuNumber: 485" hidden="1">
          <a:extLst>
            <a:ext uri="{FF2B5EF4-FFF2-40B4-BE49-F238E27FC236}">
              <a16:creationId xmlns:a16="http://schemas.microsoft.com/office/drawing/2014/main" id="{C8CD1178-AEF3-4B07-A06A-772E13C471B5}"/>
            </a:ext>
          </a:extLst>
        </xdr:cNvPr>
        <xdr:cNvSpPr/>
      </xdr:nvSpPr>
      <xdr:spPr bwMode="auto">
        <a:xfrm>
          <a:off x="14382750" y="18921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89</xdr:row>
      <xdr:rowOff>119380</xdr:rowOff>
    </xdr:from>
    <xdr:to>
      <xdr:col>20</xdr:col>
      <xdr:colOff>63500</xdr:colOff>
      <xdr:row>90</xdr:row>
      <xdr:rowOff>0</xdr:rowOff>
    </xdr:to>
    <xdr:sp macro="" textlink="">
      <xdr:nvSpPr>
        <xdr:cNvPr id="472" name="nuNumber: 486" hidden="1">
          <a:extLst>
            <a:ext uri="{FF2B5EF4-FFF2-40B4-BE49-F238E27FC236}">
              <a16:creationId xmlns:a16="http://schemas.microsoft.com/office/drawing/2014/main" id="{526953B5-67C7-4035-8EEE-EDE196C587B8}"/>
            </a:ext>
          </a:extLst>
        </xdr:cNvPr>
        <xdr:cNvSpPr/>
      </xdr:nvSpPr>
      <xdr:spPr bwMode="auto">
        <a:xfrm>
          <a:off x="15135225" y="18921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90</xdr:row>
      <xdr:rowOff>0</xdr:rowOff>
    </xdr:from>
    <xdr:to>
      <xdr:col>6</xdr:col>
      <xdr:colOff>63500</xdr:colOff>
      <xdr:row>90</xdr:row>
      <xdr:rowOff>1</xdr:rowOff>
    </xdr:to>
    <xdr:sp macro="" textlink="">
      <xdr:nvSpPr>
        <xdr:cNvPr id="473" name="nuNumber: 487" hidden="1">
          <a:extLst>
            <a:ext uri="{FF2B5EF4-FFF2-40B4-BE49-F238E27FC236}">
              <a16:creationId xmlns:a16="http://schemas.microsoft.com/office/drawing/2014/main" id="{855C3AAF-9AAA-48D4-916A-62783DA9189F}"/>
            </a:ext>
          </a:extLst>
        </xdr:cNvPr>
        <xdr:cNvSpPr/>
      </xdr:nvSpPr>
      <xdr:spPr bwMode="auto">
        <a:xfrm>
          <a:off x="3800475" y="19011900"/>
          <a:ext cx="63500" cy="1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90</xdr:row>
      <xdr:rowOff>0</xdr:rowOff>
    </xdr:from>
    <xdr:to>
      <xdr:col>7</xdr:col>
      <xdr:colOff>63500</xdr:colOff>
      <xdr:row>90</xdr:row>
      <xdr:rowOff>1</xdr:rowOff>
    </xdr:to>
    <xdr:sp macro="" textlink="">
      <xdr:nvSpPr>
        <xdr:cNvPr id="474" name="nuNumber: 488" hidden="1">
          <a:extLst>
            <a:ext uri="{FF2B5EF4-FFF2-40B4-BE49-F238E27FC236}">
              <a16:creationId xmlns:a16="http://schemas.microsoft.com/office/drawing/2014/main" id="{609B83EE-F63C-4714-A93F-02BE877D7FFB}"/>
            </a:ext>
          </a:extLst>
        </xdr:cNvPr>
        <xdr:cNvSpPr/>
      </xdr:nvSpPr>
      <xdr:spPr bwMode="auto">
        <a:xfrm>
          <a:off x="4676775" y="19011900"/>
          <a:ext cx="63500" cy="1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63500</xdr:colOff>
      <xdr:row>90</xdr:row>
      <xdr:rowOff>1</xdr:rowOff>
    </xdr:to>
    <xdr:sp macro="" textlink="">
      <xdr:nvSpPr>
        <xdr:cNvPr id="475" name="nuNumber: 489" hidden="1">
          <a:extLst>
            <a:ext uri="{FF2B5EF4-FFF2-40B4-BE49-F238E27FC236}">
              <a16:creationId xmlns:a16="http://schemas.microsoft.com/office/drawing/2014/main" id="{54DF3A62-8CD3-4446-AE60-F82085464108}"/>
            </a:ext>
          </a:extLst>
        </xdr:cNvPr>
        <xdr:cNvSpPr/>
      </xdr:nvSpPr>
      <xdr:spPr bwMode="auto">
        <a:xfrm>
          <a:off x="6467475" y="19011900"/>
          <a:ext cx="63500" cy="1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90</xdr:row>
      <xdr:rowOff>0</xdr:rowOff>
    </xdr:from>
    <xdr:to>
      <xdr:col>10</xdr:col>
      <xdr:colOff>63500</xdr:colOff>
      <xdr:row>90</xdr:row>
      <xdr:rowOff>1</xdr:rowOff>
    </xdr:to>
    <xdr:sp macro="" textlink="">
      <xdr:nvSpPr>
        <xdr:cNvPr id="476" name="nuNumber: 490" hidden="1">
          <a:extLst>
            <a:ext uri="{FF2B5EF4-FFF2-40B4-BE49-F238E27FC236}">
              <a16:creationId xmlns:a16="http://schemas.microsoft.com/office/drawing/2014/main" id="{8F51183E-97A9-4D66-B010-86F58A504133}"/>
            </a:ext>
          </a:extLst>
        </xdr:cNvPr>
        <xdr:cNvSpPr/>
      </xdr:nvSpPr>
      <xdr:spPr bwMode="auto">
        <a:xfrm>
          <a:off x="7315200" y="19011900"/>
          <a:ext cx="63500" cy="1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90</xdr:row>
      <xdr:rowOff>0</xdr:rowOff>
    </xdr:from>
    <xdr:to>
      <xdr:col>11</xdr:col>
      <xdr:colOff>63500</xdr:colOff>
      <xdr:row>90</xdr:row>
      <xdr:rowOff>1</xdr:rowOff>
    </xdr:to>
    <xdr:sp macro="" textlink="">
      <xdr:nvSpPr>
        <xdr:cNvPr id="477" name="nuNumber: 491" hidden="1">
          <a:extLst>
            <a:ext uri="{FF2B5EF4-FFF2-40B4-BE49-F238E27FC236}">
              <a16:creationId xmlns:a16="http://schemas.microsoft.com/office/drawing/2014/main" id="{AEFAEF83-9FC1-4EC0-BEAA-CDA1AE1C44D1}"/>
            </a:ext>
          </a:extLst>
        </xdr:cNvPr>
        <xdr:cNvSpPr/>
      </xdr:nvSpPr>
      <xdr:spPr bwMode="auto">
        <a:xfrm>
          <a:off x="8105775" y="19011900"/>
          <a:ext cx="63500" cy="1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90</xdr:row>
      <xdr:rowOff>0</xdr:rowOff>
    </xdr:from>
    <xdr:to>
      <xdr:col>12</xdr:col>
      <xdr:colOff>63500</xdr:colOff>
      <xdr:row>90</xdr:row>
      <xdr:rowOff>1</xdr:rowOff>
    </xdr:to>
    <xdr:sp macro="" textlink="">
      <xdr:nvSpPr>
        <xdr:cNvPr id="478" name="nuNumber: 492" hidden="1">
          <a:extLst>
            <a:ext uri="{FF2B5EF4-FFF2-40B4-BE49-F238E27FC236}">
              <a16:creationId xmlns:a16="http://schemas.microsoft.com/office/drawing/2014/main" id="{FF9F85F2-BFEC-4CCB-9918-8C59DD273A58}"/>
            </a:ext>
          </a:extLst>
        </xdr:cNvPr>
        <xdr:cNvSpPr/>
      </xdr:nvSpPr>
      <xdr:spPr bwMode="auto">
        <a:xfrm>
          <a:off x="8972550" y="19011900"/>
          <a:ext cx="63500" cy="1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90</xdr:row>
      <xdr:rowOff>0</xdr:rowOff>
    </xdr:from>
    <xdr:to>
      <xdr:col>13</xdr:col>
      <xdr:colOff>63500</xdr:colOff>
      <xdr:row>90</xdr:row>
      <xdr:rowOff>1</xdr:rowOff>
    </xdr:to>
    <xdr:sp macro="" textlink="">
      <xdr:nvSpPr>
        <xdr:cNvPr id="479" name="nuNumber: 493" hidden="1">
          <a:extLst>
            <a:ext uri="{FF2B5EF4-FFF2-40B4-BE49-F238E27FC236}">
              <a16:creationId xmlns:a16="http://schemas.microsoft.com/office/drawing/2014/main" id="{450FE3E4-1B0E-4F12-B372-E0EAE2BD25FB}"/>
            </a:ext>
          </a:extLst>
        </xdr:cNvPr>
        <xdr:cNvSpPr/>
      </xdr:nvSpPr>
      <xdr:spPr bwMode="auto">
        <a:xfrm>
          <a:off x="9753600" y="19011900"/>
          <a:ext cx="63500" cy="1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90</xdr:row>
      <xdr:rowOff>0</xdr:rowOff>
    </xdr:from>
    <xdr:to>
      <xdr:col>14</xdr:col>
      <xdr:colOff>63500</xdr:colOff>
      <xdr:row>90</xdr:row>
      <xdr:rowOff>1</xdr:rowOff>
    </xdr:to>
    <xdr:sp macro="" textlink="">
      <xdr:nvSpPr>
        <xdr:cNvPr id="480" name="nuNumber: 494" hidden="1">
          <a:extLst>
            <a:ext uri="{FF2B5EF4-FFF2-40B4-BE49-F238E27FC236}">
              <a16:creationId xmlns:a16="http://schemas.microsoft.com/office/drawing/2014/main" id="{29D6069A-2122-4C4E-99A0-40EEF93D72E3}"/>
            </a:ext>
          </a:extLst>
        </xdr:cNvPr>
        <xdr:cNvSpPr/>
      </xdr:nvSpPr>
      <xdr:spPr bwMode="auto">
        <a:xfrm>
          <a:off x="10515600" y="19011900"/>
          <a:ext cx="63500" cy="1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90</xdr:row>
      <xdr:rowOff>0</xdr:rowOff>
    </xdr:from>
    <xdr:to>
      <xdr:col>15</xdr:col>
      <xdr:colOff>63500</xdr:colOff>
      <xdr:row>90</xdr:row>
      <xdr:rowOff>1</xdr:rowOff>
    </xdr:to>
    <xdr:sp macro="" textlink="">
      <xdr:nvSpPr>
        <xdr:cNvPr id="481" name="nuNumber: 495" hidden="1">
          <a:extLst>
            <a:ext uri="{FF2B5EF4-FFF2-40B4-BE49-F238E27FC236}">
              <a16:creationId xmlns:a16="http://schemas.microsoft.com/office/drawing/2014/main" id="{4A755FD7-AAEF-4277-94FC-71DA6C93B951}"/>
            </a:ext>
          </a:extLst>
        </xdr:cNvPr>
        <xdr:cNvSpPr/>
      </xdr:nvSpPr>
      <xdr:spPr bwMode="auto">
        <a:xfrm>
          <a:off x="11325225" y="19011900"/>
          <a:ext cx="63500" cy="1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90</xdr:row>
      <xdr:rowOff>0</xdr:rowOff>
    </xdr:from>
    <xdr:to>
      <xdr:col>16</xdr:col>
      <xdr:colOff>63500</xdr:colOff>
      <xdr:row>90</xdr:row>
      <xdr:rowOff>1</xdr:rowOff>
    </xdr:to>
    <xdr:sp macro="" textlink="">
      <xdr:nvSpPr>
        <xdr:cNvPr id="482" name="nuNumber: 496" hidden="1">
          <a:extLst>
            <a:ext uri="{FF2B5EF4-FFF2-40B4-BE49-F238E27FC236}">
              <a16:creationId xmlns:a16="http://schemas.microsoft.com/office/drawing/2014/main" id="{FB4FF976-5930-4BD9-9A4D-0628629465EA}"/>
            </a:ext>
          </a:extLst>
        </xdr:cNvPr>
        <xdr:cNvSpPr/>
      </xdr:nvSpPr>
      <xdr:spPr bwMode="auto">
        <a:xfrm>
          <a:off x="12106275" y="19011900"/>
          <a:ext cx="63500" cy="1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90</xdr:row>
      <xdr:rowOff>0</xdr:rowOff>
    </xdr:from>
    <xdr:to>
      <xdr:col>17</xdr:col>
      <xdr:colOff>63500</xdr:colOff>
      <xdr:row>90</xdr:row>
      <xdr:rowOff>1</xdr:rowOff>
    </xdr:to>
    <xdr:sp macro="" textlink="">
      <xdr:nvSpPr>
        <xdr:cNvPr id="483" name="nuNumber: 497" hidden="1">
          <a:extLst>
            <a:ext uri="{FF2B5EF4-FFF2-40B4-BE49-F238E27FC236}">
              <a16:creationId xmlns:a16="http://schemas.microsoft.com/office/drawing/2014/main" id="{ECAC4EF4-181E-4739-890F-B14353CC394F}"/>
            </a:ext>
          </a:extLst>
        </xdr:cNvPr>
        <xdr:cNvSpPr/>
      </xdr:nvSpPr>
      <xdr:spPr bwMode="auto">
        <a:xfrm>
          <a:off x="12887325" y="19011900"/>
          <a:ext cx="63500" cy="1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90</xdr:row>
      <xdr:rowOff>0</xdr:rowOff>
    </xdr:from>
    <xdr:to>
      <xdr:col>18</xdr:col>
      <xdr:colOff>63499</xdr:colOff>
      <xdr:row>90</xdr:row>
      <xdr:rowOff>1</xdr:rowOff>
    </xdr:to>
    <xdr:sp macro="" textlink="">
      <xdr:nvSpPr>
        <xdr:cNvPr id="484" name="nuNumber: 498" hidden="1">
          <a:extLst>
            <a:ext uri="{FF2B5EF4-FFF2-40B4-BE49-F238E27FC236}">
              <a16:creationId xmlns:a16="http://schemas.microsoft.com/office/drawing/2014/main" id="{53AB5291-09AE-44B7-B792-EA38C2C6A306}"/>
            </a:ext>
          </a:extLst>
        </xdr:cNvPr>
        <xdr:cNvSpPr/>
      </xdr:nvSpPr>
      <xdr:spPr bwMode="auto">
        <a:xfrm>
          <a:off x="13624559" y="19011900"/>
          <a:ext cx="59690" cy="1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90</xdr:row>
      <xdr:rowOff>0</xdr:rowOff>
    </xdr:from>
    <xdr:to>
      <xdr:col>19</xdr:col>
      <xdr:colOff>63500</xdr:colOff>
      <xdr:row>90</xdr:row>
      <xdr:rowOff>1</xdr:rowOff>
    </xdr:to>
    <xdr:sp macro="" textlink="">
      <xdr:nvSpPr>
        <xdr:cNvPr id="485" name="nuNumber: 499" hidden="1">
          <a:extLst>
            <a:ext uri="{FF2B5EF4-FFF2-40B4-BE49-F238E27FC236}">
              <a16:creationId xmlns:a16="http://schemas.microsoft.com/office/drawing/2014/main" id="{9D0BB49A-70CE-4C78-B1DB-5A5DA9BB811B}"/>
            </a:ext>
          </a:extLst>
        </xdr:cNvPr>
        <xdr:cNvSpPr/>
      </xdr:nvSpPr>
      <xdr:spPr bwMode="auto">
        <a:xfrm>
          <a:off x="14382750" y="19011900"/>
          <a:ext cx="63500" cy="1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90</xdr:row>
      <xdr:rowOff>0</xdr:rowOff>
    </xdr:from>
    <xdr:to>
      <xdr:col>20</xdr:col>
      <xdr:colOff>63500</xdr:colOff>
      <xdr:row>90</xdr:row>
      <xdr:rowOff>1</xdr:rowOff>
    </xdr:to>
    <xdr:sp macro="" textlink="">
      <xdr:nvSpPr>
        <xdr:cNvPr id="486" name="nuNumber: 500" hidden="1">
          <a:extLst>
            <a:ext uri="{FF2B5EF4-FFF2-40B4-BE49-F238E27FC236}">
              <a16:creationId xmlns:a16="http://schemas.microsoft.com/office/drawing/2014/main" id="{8EDCABD0-32BF-4DFA-90D2-FD8EB9DFAD94}"/>
            </a:ext>
          </a:extLst>
        </xdr:cNvPr>
        <xdr:cNvSpPr/>
      </xdr:nvSpPr>
      <xdr:spPr bwMode="auto">
        <a:xfrm>
          <a:off x="15135225" y="19011900"/>
          <a:ext cx="63500" cy="1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90</xdr:row>
      <xdr:rowOff>0</xdr:rowOff>
    </xdr:from>
    <xdr:to>
      <xdr:col>21</xdr:col>
      <xdr:colOff>63500</xdr:colOff>
      <xdr:row>90</xdr:row>
      <xdr:rowOff>1</xdr:rowOff>
    </xdr:to>
    <xdr:sp macro="" textlink="">
      <xdr:nvSpPr>
        <xdr:cNvPr id="487" name="nuNumber: 501" hidden="1">
          <a:extLst>
            <a:ext uri="{FF2B5EF4-FFF2-40B4-BE49-F238E27FC236}">
              <a16:creationId xmlns:a16="http://schemas.microsoft.com/office/drawing/2014/main" id="{A9065236-1AAC-4DC8-9DE2-AC480C11DA74}"/>
            </a:ext>
          </a:extLst>
        </xdr:cNvPr>
        <xdr:cNvSpPr/>
      </xdr:nvSpPr>
      <xdr:spPr bwMode="auto">
        <a:xfrm>
          <a:off x="15849600" y="19011900"/>
          <a:ext cx="63500" cy="1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90</xdr:row>
      <xdr:rowOff>119379</xdr:rowOff>
    </xdr:from>
    <xdr:to>
      <xdr:col>8</xdr:col>
      <xdr:colOff>63500</xdr:colOff>
      <xdr:row>90</xdr:row>
      <xdr:rowOff>182879</xdr:rowOff>
    </xdr:to>
    <xdr:sp macro="" textlink="">
      <xdr:nvSpPr>
        <xdr:cNvPr id="488" name="nuNumber: 502" hidden="1">
          <a:extLst>
            <a:ext uri="{FF2B5EF4-FFF2-40B4-BE49-F238E27FC236}">
              <a16:creationId xmlns:a16="http://schemas.microsoft.com/office/drawing/2014/main" id="{1749C22F-FCAC-4567-9AC5-A566F905B13C}"/>
            </a:ext>
          </a:extLst>
        </xdr:cNvPr>
        <xdr:cNvSpPr/>
      </xdr:nvSpPr>
      <xdr:spPr bwMode="auto">
        <a:xfrm>
          <a:off x="5562600" y="191312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90</xdr:row>
      <xdr:rowOff>119379</xdr:rowOff>
    </xdr:from>
    <xdr:to>
      <xdr:col>9</xdr:col>
      <xdr:colOff>63500</xdr:colOff>
      <xdr:row>90</xdr:row>
      <xdr:rowOff>182879</xdr:rowOff>
    </xdr:to>
    <xdr:sp macro="" textlink="">
      <xdr:nvSpPr>
        <xdr:cNvPr id="489" name="nuNumber: 503" hidden="1">
          <a:extLst>
            <a:ext uri="{FF2B5EF4-FFF2-40B4-BE49-F238E27FC236}">
              <a16:creationId xmlns:a16="http://schemas.microsoft.com/office/drawing/2014/main" id="{71960691-353B-48CB-90A4-560575A15A65}"/>
            </a:ext>
          </a:extLst>
        </xdr:cNvPr>
        <xdr:cNvSpPr/>
      </xdr:nvSpPr>
      <xdr:spPr bwMode="auto">
        <a:xfrm>
          <a:off x="6467475" y="191312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90</xdr:row>
      <xdr:rowOff>119379</xdr:rowOff>
    </xdr:from>
    <xdr:to>
      <xdr:col>9</xdr:col>
      <xdr:colOff>63500</xdr:colOff>
      <xdr:row>90</xdr:row>
      <xdr:rowOff>182879</xdr:rowOff>
    </xdr:to>
    <xdr:sp macro="" textlink="">
      <xdr:nvSpPr>
        <xdr:cNvPr id="490" name="nuNumber: 504" hidden="1">
          <a:extLst>
            <a:ext uri="{FF2B5EF4-FFF2-40B4-BE49-F238E27FC236}">
              <a16:creationId xmlns:a16="http://schemas.microsoft.com/office/drawing/2014/main" id="{9CA4D383-628E-4B6D-8AEA-AA02EEB44341}"/>
            </a:ext>
          </a:extLst>
        </xdr:cNvPr>
        <xdr:cNvSpPr/>
      </xdr:nvSpPr>
      <xdr:spPr bwMode="auto">
        <a:xfrm>
          <a:off x="6467475" y="191312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90</xdr:row>
      <xdr:rowOff>119379</xdr:rowOff>
    </xdr:from>
    <xdr:to>
      <xdr:col>10</xdr:col>
      <xdr:colOff>63500</xdr:colOff>
      <xdr:row>90</xdr:row>
      <xdr:rowOff>182879</xdr:rowOff>
    </xdr:to>
    <xdr:sp macro="" textlink="">
      <xdr:nvSpPr>
        <xdr:cNvPr id="491" name="nuNumber: 505" hidden="1">
          <a:extLst>
            <a:ext uri="{FF2B5EF4-FFF2-40B4-BE49-F238E27FC236}">
              <a16:creationId xmlns:a16="http://schemas.microsoft.com/office/drawing/2014/main" id="{8DFA1F69-F2C9-4362-8D83-21EC3A5FD931}"/>
            </a:ext>
          </a:extLst>
        </xdr:cNvPr>
        <xdr:cNvSpPr/>
      </xdr:nvSpPr>
      <xdr:spPr bwMode="auto">
        <a:xfrm>
          <a:off x="7315200" y="191312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90</xdr:row>
      <xdr:rowOff>119379</xdr:rowOff>
    </xdr:from>
    <xdr:to>
      <xdr:col>11</xdr:col>
      <xdr:colOff>63500</xdr:colOff>
      <xdr:row>90</xdr:row>
      <xdr:rowOff>182879</xdr:rowOff>
    </xdr:to>
    <xdr:sp macro="" textlink="">
      <xdr:nvSpPr>
        <xdr:cNvPr id="492" name="nuNumber: 506" hidden="1">
          <a:extLst>
            <a:ext uri="{FF2B5EF4-FFF2-40B4-BE49-F238E27FC236}">
              <a16:creationId xmlns:a16="http://schemas.microsoft.com/office/drawing/2014/main" id="{31C8AB94-9974-431F-9953-418B6A87EB96}"/>
            </a:ext>
          </a:extLst>
        </xdr:cNvPr>
        <xdr:cNvSpPr/>
      </xdr:nvSpPr>
      <xdr:spPr bwMode="auto">
        <a:xfrm>
          <a:off x="8105775" y="191312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90</xdr:row>
      <xdr:rowOff>119379</xdr:rowOff>
    </xdr:from>
    <xdr:to>
      <xdr:col>12</xdr:col>
      <xdr:colOff>63500</xdr:colOff>
      <xdr:row>90</xdr:row>
      <xdr:rowOff>182879</xdr:rowOff>
    </xdr:to>
    <xdr:sp macro="" textlink="">
      <xdr:nvSpPr>
        <xdr:cNvPr id="493" name="nuNumber: 507" hidden="1">
          <a:extLst>
            <a:ext uri="{FF2B5EF4-FFF2-40B4-BE49-F238E27FC236}">
              <a16:creationId xmlns:a16="http://schemas.microsoft.com/office/drawing/2014/main" id="{F6B439EC-E8FB-47CC-A774-F6E7B0873D46}"/>
            </a:ext>
          </a:extLst>
        </xdr:cNvPr>
        <xdr:cNvSpPr/>
      </xdr:nvSpPr>
      <xdr:spPr bwMode="auto">
        <a:xfrm>
          <a:off x="8972550" y="191312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90</xdr:row>
      <xdr:rowOff>119379</xdr:rowOff>
    </xdr:from>
    <xdr:to>
      <xdr:col>13</xdr:col>
      <xdr:colOff>63500</xdr:colOff>
      <xdr:row>90</xdr:row>
      <xdr:rowOff>182879</xdr:rowOff>
    </xdr:to>
    <xdr:sp macro="" textlink="">
      <xdr:nvSpPr>
        <xdr:cNvPr id="494" name="nuNumber: 508" hidden="1">
          <a:extLst>
            <a:ext uri="{FF2B5EF4-FFF2-40B4-BE49-F238E27FC236}">
              <a16:creationId xmlns:a16="http://schemas.microsoft.com/office/drawing/2014/main" id="{086D3484-26CD-4F18-857A-9D83F014A048}"/>
            </a:ext>
          </a:extLst>
        </xdr:cNvPr>
        <xdr:cNvSpPr/>
      </xdr:nvSpPr>
      <xdr:spPr bwMode="auto">
        <a:xfrm>
          <a:off x="9753600" y="191312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90</xdr:row>
      <xdr:rowOff>119379</xdr:rowOff>
    </xdr:from>
    <xdr:to>
      <xdr:col>14</xdr:col>
      <xdr:colOff>63500</xdr:colOff>
      <xdr:row>90</xdr:row>
      <xdr:rowOff>182879</xdr:rowOff>
    </xdr:to>
    <xdr:sp macro="" textlink="">
      <xdr:nvSpPr>
        <xdr:cNvPr id="495" name="nuNumber: 509" hidden="1">
          <a:extLst>
            <a:ext uri="{FF2B5EF4-FFF2-40B4-BE49-F238E27FC236}">
              <a16:creationId xmlns:a16="http://schemas.microsoft.com/office/drawing/2014/main" id="{0CEB6E68-B548-45D1-ACB7-CD7B3ED1FD8B}"/>
            </a:ext>
          </a:extLst>
        </xdr:cNvPr>
        <xdr:cNvSpPr/>
      </xdr:nvSpPr>
      <xdr:spPr bwMode="auto">
        <a:xfrm>
          <a:off x="10515600" y="191312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90</xdr:row>
      <xdr:rowOff>119379</xdr:rowOff>
    </xdr:from>
    <xdr:to>
      <xdr:col>15</xdr:col>
      <xdr:colOff>63500</xdr:colOff>
      <xdr:row>90</xdr:row>
      <xdr:rowOff>182879</xdr:rowOff>
    </xdr:to>
    <xdr:sp macro="" textlink="">
      <xdr:nvSpPr>
        <xdr:cNvPr id="496" name="nuNumber: 510" hidden="1">
          <a:extLst>
            <a:ext uri="{FF2B5EF4-FFF2-40B4-BE49-F238E27FC236}">
              <a16:creationId xmlns:a16="http://schemas.microsoft.com/office/drawing/2014/main" id="{8D0E5A3C-77CC-4F28-9D88-2603A7945C4B}"/>
            </a:ext>
          </a:extLst>
        </xdr:cNvPr>
        <xdr:cNvSpPr/>
      </xdr:nvSpPr>
      <xdr:spPr bwMode="auto">
        <a:xfrm>
          <a:off x="11325225" y="191312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90</xdr:row>
      <xdr:rowOff>119379</xdr:rowOff>
    </xdr:from>
    <xdr:to>
      <xdr:col>16</xdr:col>
      <xdr:colOff>63500</xdr:colOff>
      <xdr:row>90</xdr:row>
      <xdr:rowOff>182879</xdr:rowOff>
    </xdr:to>
    <xdr:sp macro="" textlink="">
      <xdr:nvSpPr>
        <xdr:cNvPr id="497" name="nuNumber: 511" hidden="1">
          <a:extLst>
            <a:ext uri="{FF2B5EF4-FFF2-40B4-BE49-F238E27FC236}">
              <a16:creationId xmlns:a16="http://schemas.microsoft.com/office/drawing/2014/main" id="{7B6DCC02-43D2-4D5F-90CA-E28BAB71999E}"/>
            </a:ext>
          </a:extLst>
        </xdr:cNvPr>
        <xdr:cNvSpPr/>
      </xdr:nvSpPr>
      <xdr:spPr bwMode="auto">
        <a:xfrm>
          <a:off x="12106275" y="191312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90</xdr:row>
      <xdr:rowOff>119379</xdr:rowOff>
    </xdr:from>
    <xdr:to>
      <xdr:col>17</xdr:col>
      <xdr:colOff>63500</xdr:colOff>
      <xdr:row>90</xdr:row>
      <xdr:rowOff>182879</xdr:rowOff>
    </xdr:to>
    <xdr:sp macro="" textlink="">
      <xdr:nvSpPr>
        <xdr:cNvPr id="498" name="nuNumber: 512" hidden="1">
          <a:extLst>
            <a:ext uri="{FF2B5EF4-FFF2-40B4-BE49-F238E27FC236}">
              <a16:creationId xmlns:a16="http://schemas.microsoft.com/office/drawing/2014/main" id="{925EE68E-E3E5-4448-B211-4E219F25B255}"/>
            </a:ext>
          </a:extLst>
        </xdr:cNvPr>
        <xdr:cNvSpPr/>
      </xdr:nvSpPr>
      <xdr:spPr bwMode="auto">
        <a:xfrm>
          <a:off x="12887325" y="191312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90</xdr:row>
      <xdr:rowOff>119379</xdr:rowOff>
    </xdr:from>
    <xdr:to>
      <xdr:col>18</xdr:col>
      <xdr:colOff>63499</xdr:colOff>
      <xdr:row>90</xdr:row>
      <xdr:rowOff>182879</xdr:rowOff>
    </xdr:to>
    <xdr:sp macro="" textlink="">
      <xdr:nvSpPr>
        <xdr:cNvPr id="499" name="nuNumber: 513" hidden="1">
          <a:extLst>
            <a:ext uri="{FF2B5EF4-FFF2-40B4-BE49-F238E27FC236}">
              <a16:creationId xmlns:a16="http://schemas.microsoft.com/office/drawing/2014/main" id="{1AC3B1AD-B81E-4C90-B04B-29D4241106AF}"/>
            </a:ext>
          </a:extLst>
        </xdr:cNvPr>
        <xdr:cNvSpPr/>
      </xdr:nvSpPr>
      <xdr:spPr bwMode="auto">
        <a:xfrm>
          <a:off x="13624559" y="19131279"/>
          <a:ext cx="5969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90</xdr:row>
      <xdr:rowOff>119379</xdr:rowOff>
    </xdr:from>
    <xdr:to>
      <xdr:col>19</xdr:col>
      <xdr:colOff>63500</xdr:colOff>
      <xdr:row>90</xdr:row>
      <xdr:rowOff>182879</xdr:rowOff>
    </xdr:to>
    <xdr:sp macro="" textlink="">
      <xdr:nvSpPr>
        <xdr:cNvPr id="500" name="nuNumber: 514" hidden="1">
          <a:extLst>
            <a:ext uri="{FF2B5EF4-FFF2-40B4-BE49-F238E27FC236}">
              <a16:creationId xmlns:a16="http://schemas.microsoft.com/office/drawing/2014/main" id="{0D34D5A4-BF0B-4065-BF46-8990DA04EDA3}"/>
            </a:ext>
          </a:extLst>
        </xdr:cNvPr>
        <xdr:cNvSpPr/>
      </xdr:nvSpPr>
      <xdr:spPr bwMode="auto">
        <a:xfrm>
          <a:off x="14382750" y="191312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90</xdr:row>
      <xdr:rowOff>119379</xdr:rowOff>
    </xdr:from>
    <xdr:to>
      <xdr:col>20</xdr:col>
      <xdr:colOff>63500</xdr:colOff>
      <xdr:row>90</xdr:row>
      <xdr:rowOff>182879</xdr:rowOff>
    </xdr:to>
    <xdr:sp macro="" textlink="">
      <xdr:nvSpPr>
        <xdr:cNvPr id="501" name="nuNumber: 515" hidden="1">
          <a:extLst>
            <a:ext uri="{FF2B5EF4-FFF2-40B4-BE49-F238E27FC236}">
              <a16:creationId xmlns:a16="http://schemas.microsoft.com/office/drawing/2014/main" id="{FCD9C8C3-112D-48DE-8E22-10D18159CB13}"/>
            </a:ext>
          </a:extLst>
        </xdr:cNvPr>
        <xdr:cNvSpPr/>
      </xdr:nvSpPr>
      <xdr:spPr bwMode="auto">
        <a:xfrm>
          <a:off x="15135225" y="191312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90</xdr:row>
      <xdr:rowOff>119379</xdr:rowOff>
    </xdr:from>
    <xdr:to>
      <xdr:col>21</xdr:col>
      <xdr:colOff>63500</xdr:colOff>
      <xdr:row>90</xdr:row>
      <xdr:rowOff>182879</xdr:rowOff>
    </xdr:to>
    <xdr:sp macro="" textlink="">
      <xdr:nvSpPr>
        <xdr:cNvPr id="502" name="nuNumber: 516" hidden="1">
          <a:extLst>
            <a:ext uri="{FF2B5EF4-FFF2-40B4-BE49-F238E27FC236}">
              <a16:creationId xmlns:a16="http://schemas.microsoft.com/office/drawing/2014/main" id="{85B9B695-5115-4817-BBF1-2D37D117FC16}"/>
            </a:ext>
          </a:extLst>
        </xdr:cNvPr>
        <xdr:cNvSpPr/>
      </xdr:nvSpPr>
      <xdr:spPr bwMode="auto">
        <a:xfrm>
          <a:off x="15849600" y="191312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91</xdr:row>
      <xdr:rowOff>119380</xdr:rowOff>
    </xdr:from>
    <xdr:to>
      <xdr:col>8</xdr:col>
      <xdr:colOff>63500</xdr:colOff>
      <xdr:row>92</xdr:row>
      <xdr:rowOff>0</xdr:rowOff>
    </xdr:to>
    <xdr:sp macro="" textlink="">
      <xdr:nvSpPr>
        <xdr:cNvPr id="503" name="nuNumber: 517" hidden="1">
          <a:extLst>
            <a:ext uri="{FF2B5EF4-FFF2-40B4-BE49-F238E27FC236}">
              <a16:creationId xmlns:a16="http://schemas.microsoft.com/office/drawing/2014/main" id="{3FC12CD1-EC4B-46ED-B403-8085BCCFB216}"/>
            </a:ext>
          </a:extLst>
        </xdr:cNvPr>
        <xdr:cNvSpPr/>
      </xdr:nvSpPr>
      <xdr:spPr bwMode="auto">
        <a:xfrm>
          <a:off x="5562600" y="19340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91</xdr:row>
      <xdr:rowOff>119380</xdr:rowOff>
    </xdr:from>
    <xdr:to>
      <xdr:col>9</xdr:col>
      <xdr:colOff>63500</xdr:colOff>
      <xdr:row>92</xdr:row>
      <xdr:rowOff>0</xdr:rowOff>
    </xdr:to>
    <xdr:sp macro="" textlink="">
      <xdr:nvSpPr>
        <xdr:cNvPr id="504" name="nuNumber: 518" hidden="1">
          <a:extLst>
            <a:ext uri="{FF2B5EF4-FFF2-40B4-BE49-F238E27FC236}">
              <a16:creationId xmlns:a16="http://schemas.microsoft.com/office/drawing/2014/main" id="{9FDA82D5-9111-48A7-9186-70B4F890F0F9}"/>
            </a:ext>
          </a:extLst>
        </xdr:cNvPr>
        <xdr:cNvSpPr/>
      </xdr:nvSpPr>
      <xdr:spPr bwMode="auto">
        <a:xfrm>
          <a:off x="6467475" y="19340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91</xdr:row>
      <xdr:rowOff>119380</xdr:rowOff>
    </xdr:from>
    <xdr:to>
      <xdr:col>9</xdr:col>
      <xdr:colOff>63500</xdr:colOff>
      <xdr:row>92</xdr:row>
      <xdr:rowOff>0</xdr:rowOff>
    </xdr:to>
    <xdr:sp macro="" textlink="">
      <xdr:nvSpPr>
        <xdr:cNvPr id="505" name="nuNumber: 519" hidden="1">
          <a:extLst>
            <a:ext uri="{FF2B5EF4-FFF2-40B4-BE49-F238E27FC236}">
              <a16:creationId xmlns:a16="http://schemas.microsoft.com/office/drawing/2014/main" id="{DEB592B6-D00E-430F-B56E-54EA168D8B67}"/>
            </a:ext>
          </a:extLst>
        </xdr:cNvPr>
        <xdr:cNvSpPr/>
      </xdr:nvSpPr>
      <xdr:spPr bwMode="auto">
        <a:xfrm>
          <a:off x="6467475" y="19340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91</xdr:row>
      <xdr:rowOff>119380</xdr:rowOff>
    </xdr:from>
    <xdr:to>
      <xdr:col>10</xdr:col>
      <xdr:colOff>63500</xdr:colOff>
      <xdr:row>92</xdr:row>
      <xdr:rowOff>0</xdr:rowOff>
    </xdr:to>
    <xdr:sp macro="" textlink="">
      <xdr:nvSpPr>
        <xdr:cNvPr id="506" name="nuNumber: 520" hidden="1">
          <a:extLst>
            <a:ext uri="{FF2B5EF4-FFF2-40B4-BE49-F238E27FC236}">
              <a16:creationId xmlns:a16="http://schemas.microsoft.com/office/drawing/2014/main" id="{B3F6AD40-1E88-46AA-AB9E-078BF11BD346}"/>
            </a:ext>
          </a:extLst>
        </xdr:cNvPr>
        <xdr:cNvSpPr/>
      </xdr:nvSpPr>
      <xdr:spPr bwMode="auto">
        <a:xfrm>
          <a:off x="7315200" y="19340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91</xdr:row>
      <xdr:rowOff>119380</xdr:rowOff>
    </xdr:from>
    <xdr:to>
      <xdr:col>11</xdr:col>
      <xdr:colOff>63500</xdr:colOff>
      <xdr:row>92</xdr:row>
      <xdr:rowOff>0</xdr:rowOff>
    </xdr:to>
    <xdr:sp macro="" textlink="">
      <xdr:nvSpPr>
        <xdr:cNvPr id="507" name="nuNumber: 521" hidden="1">
          <a:extLst>
            <a:ext uri="{FF2B5EF4-FFF2-40B4-BE49-F238E27FC236}">
              <a16:creationId xmlns:a16="http://schemas.microsoft.com/office/drawing/2014/main" id="{703BCF55-28DC-4546-BF16-A8FE5141E8FE}"/>
            </a:ext>
          </a:extLst>
        </xdr:cNvPr>
        <xdr:cNvSpPr/>
      </xdr:nvSpPr>
      <xdr:spPr bwMode="auto">
        <a:xfrm>
          <a:off x="8105775" y="19340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91</xdr:row>
      <xdr:rowOff>119380</xdr:rowOff>
    </xdr:from>
    <xdr:to>
      <xdr:col>12</xdr:col>
      <xdr:colOff>63500</xdr:colOff>
      <xdr:row>92</xdr:row>
      <xdr:rowOff>0</xdr:rowOff>
    </xdr:to>
    <xdr:sp macro="" textlink="">
      <xdr:nvSpPr>
        <xdr:cNvPr id="508" name="nuNumber: 522" hidden="1">
          <a:extLst>
            <a:ext uri="{FF2B5EF4-FFF2-40B4-BE49-F238E27FC236}">
              <a16:creationId xmlns:a16="http://schemas.microsoft.com/office/drawing/2014/main" id="{346CF4B6-1706-42B9-A814-6FB213D98EDD}"/>
            </a:ext>
          </a:extLst>
        </xdr:cNvPr>
        <xdr:cNvSpPr/>
      </xdr:nvSpPr>
      <xdr:spPr bwMode="auto">
        <a:xfrm>
          <a:off x="8972550" y="19340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91</xdr:row>
      <xdr:rowOff>119380</xdr:rowOff>
    </xdr:from>
    <xdr:to>
      <xdr:col>13</xdr:col>
      <xdr:colOff>63500</xdr:colOff>
      <xdr:row>92</xdr:row>
      <xdr:rowOff>0</xdr:rowOff>
    </xdr:to>
    <xdr:sp macro="" textlink="">
      <xdr:nvSpPr>
        <xdr:cNvPr id="509" name="nuNumber: 523" hidden="1">
          <a:extLst>
            <a:ext uri="{FF2B5EF4-FFF2-40B4-BE49-F238E27FC236}">
              <a16:creationId xmlns:a16="http://schemas.microsoft.com/office/drawing/2014/main" id="{25C2976D-2DA1-461A-B63D-73735B60FBA5}"/>
            </a:ext>
          </a:extLst>
        </xdr:cNvPr>
        <xdr:cNvSpPr/>
      </xdr:nvSpPr>
      <xdr:spPr bwMode="auto">
        <a:xfrm>
          <a:off x="9753600" y="19340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91</xdr:row>
      <xdr:rowOff>119380</xdr:rowOff>
    </xdr:from>
    <xdr:to>
      <xdr:col>14</xdr:col>
      <xdr:colOff>63500</xdr:colOff>
      <xdr:row>92</xdr:row>
      <xdr:rowOff>0</xdr:rowOff>
    </xdr:to>
    <xdr:sp macro="" textlink="">
      <xdr:nvSpPr>
        <xdr:cNvPr id="510" name="nuNumber: 524" hidden="1">
          <a:extLst>
            <a:ext uri="{FF2B5EF4-FFF2-40B4-BE49-F238E27FC236}">
              <a16:creationId xmlns:a16="http://schemas.microsoft.com/office/drawing/2014/main" id="{526BB005-B393-45F1-B755-43C6BA443B63}"/>
            </a:ext>
          </a:extLst>
        </xdr:cNvPr>
        <xdr:cNvSpPr/>
      </xdr:nvSpPr>
      <xdr:spPr bwMode="auto">
        <a:xfrm>
          <a:off x="10515600" y="19340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91</xdr:row>
      <xdr:rowOff>119380</xdr:rowOff>
    </xdr:from>
    <xdr:to>
      <xdr:col>15</xdr:col>
      <xdr:colOff>63500</xdr:colOff>
      <xdr:row>92</xdr:row>
      <xdr:rowOff>0</xdr:rowOff>
    </xdr:to>
    <xdr:sp macro="" textlink="">
      <xdr:nvSpPr>
        <xdr:cNvPr id="511" name="nuNumber: 525" hidden="1">
          <a:extLst>
            <a:ext uri="{FF2B5EF4-FFF2-40B4-BE49-F238E27FC236}">
              <a16:creationId xmlns:a16="http://schemas.microsoft.com/office/drawing/2014/main" id="{C7186F32-8E0B-4C2C-893F-06A41EF2E875}"/>
            </a:ext>
          </a:extLst>
        </xdr:cNvPr>
        <xdr:cNvSpPr/>
      </xdr:nvSpPr>
      <xdr:spPr bwMode="auto">
        <a:xfrm>
          <a:off x="11325225" y="19340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91</xdr:row>
      <xdr:rowOff>119380</xdr:rowOff>
    </xdr:from>
    <xdr:to>
      <xdr:col>16</xdr:col>
      <xdr:colOff>63500</xdr:colOff>
      <xdr:row>92</xdr:row>
      <xdr:rowOff>0</xdr:rowOff>
    </xdr:to>
    <xdr:sp macro="" textlink="">
      <xdr:nvSpPr>
        <xdr:cNvPr id="512" name="nuNumber: 526" hidden="1">
          <a:extLst>
            <a:ext uri="{FF2B5EF4-FFF2-40B4-BE49-F238E27FC236}">
              <a16:creationId xmlns:a16="http://schemas.microsoft.com/office/drawing/2014/main" id="{87551883-74C7-457F-BFD6-548333DA3F6E}"/>
            </a:ext>
          </a:extLst>
        </xdr:cNvPr>
        <xdr:cNvSpPr/>
      </xdr:nvSpPr>
      <xdr:spPr bwMode="auto">
        <a:xfrm>
          <a:off x="12106275" y="19340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91</xdr:row>
      <xdr:rowOff>119380</xdr:rowOff>
    </xdr:from>
    <xdr:to>
      <xdr:col>17</xdr:col>
      <xdr:colOff>63500</xdr:colOff>
      <xdr:row>92</xdr:row>
      <xdr:rowOff>0</xdr:rowOff>
    </xdr:to>
    <xdr:sp macro="" textlink="">
      <xdr:nvSpPr>
        <xdr:cNvPr id="513" name="nuNumber: 527" hidden="1">
          <a:extLst>
            <a:ext uri="{FF2B5EF4-FFF2-40B4-BE49-F238E27FC236}">
              <a16:creationId xmlns:a16="http://schemas.microsoft.com/office/drawing/2014/main" id="{2CE17676-B282-42D3-833C-743AEDD926A4}"/>
            </a:ext>
          </a:extLst>
        </xdr:cNvPr>
        <xdr:cNvSpPr/>
      </xdr:nvSpPr>
      <xdr:spPr bwMode="auto">
        <a:xfrm>
          <a:off x="12887325" y="19340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91</xdr:row>
      <xdr:rowOff>119380</xdr:rowOff>
    </xdr:from>
    <xdr:to>
      <xdr:col>18</xdr:col>
      <xdr:colOff>63499</xdr:colOff>
      <xdr:row>92</xdr:row>
      <xdr:rowOff>0</xdr:rowOff>
    </xdr:to>
    <xdr:sp macro="" textlink="">
      <xdr:nvSpPr>
        <xdr:cNvPr id="514" name="nuNumber: 528" hidden="1">
          <a:extLst>
            <a:ext uri="{FF2B5EF4-FFF2-40B4-BE49-F238E27FC236}">
              <a16:creationId xmlns:a16="http://schemas.microsoft.com/office/drawing/2014/main" id="{1F012350-787D-4C4F-A03A-3A57829399FA}"/>
            </a:ext>
          </a:extLst>
        </xdr:cNvPr>
        <xdr:cNvSpPr/>
      </xdr:nvSpPr>
      <xdr:spPr bwMode="auto">
        <a:xfrm>
          <a:off x="13624559" y="1934083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91</xdr:row>
      <xdr:rowOff>119380</xdr:rowOff>
    </xdr:from>
    <xdr:to>
      <xdr:col>19</xdr:col>
      <xdr:colOff>63500</xdr:colOff>
      <xdr:row>92</xdr:row>
      <xdr:rowOff>0</xdr:rowOff>
    </xdr:to>
    <xdr:sp macro="" textlink="">
      <xdr:nvSpPr>
        <xdr:cNvPr id="515" name="nuNumber: 529" hidden="1">
          <a:extLst>
            <a:ext uri="{FF2B5EF4-FFF2-40B4-BE49-F238E27FC236}">
              <a16:creationId xmlns:a16="http://schemas.microsoft.com/office/drawing/2014/main" id="{BB0CC10D-3ACC-4130-BD09-438F7D65E9F4}"/>
            </a:ext>
          </a:extLst>
        </xdr:cNvPr>
        <xdr:cNvSpPr/>
      </xdr:nvSpPr>
      <xdr:spPr bwMode="auto">
        <a:xfrm>
          <a:off x="14382750" y="19340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91</xdr:row>
      <xdr:rowOff>119380</xdr:rowOff>
    </xdr:from>
    <xdr:to>
      <xdr:col>20</xdr:col>
      <xdr:colOff>63500</xdr:colOff>
      <xdr:row>92</xdr:row>
      <xdr:rowOff>0</xdr:rowOff>
    </xdr:to>
    <xdr:sp macro="" textlink="">
      <xdr:nvSpPr>
        <xdr:cNvPr id="516" name="nuNumber: 530" hidden="1">
          <a:extLst>
            <a:ext uri="{FF2B5EF4-FFF2-40B4-BE49-F238E27FC236}">
              <a16:creationId xmlns:a16="http://schemas.microsoft.com/office/drawing/2014/main" id="{B61B6B4A-EA97-4DAA-8C5E-256332531B34}"/>
            </a:ext>
          </a:extLst>
        </xdr:cNvPr>
        <xdr:cNvSpPr/>
      </xdr:nvSpPr>
      <xdr:spPr bwMode="auto">
        <a:xfrm>
          <a:off x="15135225" y="19340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91</xdr:row>
      <xdr:rowOff>119380</xdr:rowOff>
    </xdr:from>
    <xdr:to>
      <xdr:col>21</xdr:col>
      <xdr:colOff>63500</xdr:colOff>
      <xdr:row>92</xdr:row>
      <xdr:rowOff>0</xdr:rowOff>
    </xdr:to>
    <xdr:sp macro="" textlink="">
      <xdr:nvSpPr>
        <xdr:cNvPr id="517" name="nuNumber: 531" hidden="1">
          <a:extLst>
            <a:ext uri="{FF2B5EF4-FFF2-40B4-BE49-F238E27FC236}">
              <a16:creationId xmlns:a16="http://schemas.microsoft.com/office/drawing/2014/main" id="{BADF1021-53FC-41B7-9952-8D6478F98CF7}"/>
            </a:ext>
          </a:extLst>
        </xdr:cNvPr>
        <xdr:cNvSpPr/>
      </xdr:nvSpPr>
      <xdr:spPr bwMode="auto">
        <a:xfrm>
          <a:off x="15849600" y="19340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92</xdr:row>
      <xdr:rowOff>119380</xdr:rowOff>
    </xdr:from>
    <xdr:to>
      <xdr:col>8</xdr:col>
      <xdr:colOff>63500</xdr:colOff>
      <xdr:row>93</xdr:row>
      <xdr:rowOff>0</xdr:rowOff>
    </xdr:to>
    <xdr:sp macro="" textlink="">
      <xdr:nvSpPr>
        <xdr:cNvPr id="518" name="nuNumber: 532" hidden="1">
          <a:extLst>
            <a:ext uri="{FF2B5EF4-FFF2-40B4-BE49-F238E27FC236}">
              <a16:creationId xmlns:a16="http://schemas.microsoft.com/office/drawing/2014/main" id="{1F93D964-3CC4-4F04-9834-8FFBBD389D65}"/>
            </a:ext>
          </a:extLst>
        </xdr:cNvPr>
        <xdr:cNvSpPr/>
      </xdr:nvSpPr>
      <xdr:spPr bwMode="auto">
        <a:xfrm>
          <a:off x="5562600" y="19550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92</xdr:row>
      <xdr:rowOff>119380</xdr:rowOff>
    </xdr:from>
    <xdr:to>
      <xdr:col>9</xdr:col>
      <xdr:colOff>63500</xdr:colOff>
      <xdr:row>93</xdr:row>
      <xdr:rowOff>0</xdr:rowOff>
    </xdr:to>
    <xdr:sp macro="" textlink="">
      <xdr:nvSpPr>
        <xdr:cNvPr id="519" name="nuNumber: 533" hidden="1">
          <a:extLst>
            <a:ext uri="{FF2B5EF4-FFF2-40B4-BE49-F238E27FC236}">
              <a16:creationId xmlns:a16="http://schemas.microsoft.com/office/drawing/2014/main" id="{F09FF9A8-2135-4819-AC0F-E7D39F744CE2}"/>
            </a:ext>
          </a:extLst>
        </xdr:cNvPr>
        <xdr:cNvSpPr/>
      </xdr:nvSpPr>
      <xdr:spPr bwMode="auto">
        <a:xfrm>
          <a:off x="6467475" y="19550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92</xdr:row>
      <xdr:rowOff>119380</xdr:rowOff>
    </xdr:from>
    <xdr:to>
      <xdr:col>10</xdr:col>
      <xdr:colOff>63500</xdr:colOff>
      <xdr:row>93</xdr:row>
      <xdr:rowOff>0</xdr:rowOff>
    </xdr:to>
    <xdr:sp macro="" textlink="">
      <xdr:nvSpPr>
        <xdr:cNvPr id="520" name="nuNumber: 534" hidden="1">
          <a:extLst>
            <a:ext uri="{FF2B5EF4-FFF2-40B4-BE49-F238E27FC236}">
              <a16:creationId xmlns:a16="http://schemas.microsoft.com/office/drawing/2014/main" id="{34C5441E-828C-4E81-91EF-85A3F9DD3DFF}"/>
            </a:ext>
          </a:extLst>
        </xdr:cNvPr>
        <xdr:cNvSpPr/>
      </xdr:nvSpPr>
      <xdr:spPr bwMode="auto">
        <a:xfrm>
          <a:off x="7315200" y="19550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92</xdr:row>
      <xdr:rowOff>119380</xdr:rowOff>
    </xdr:from>
    <xdr:to>
      <xdr:col>11</xdr:col>
      <xdr:colOff>63500</xdr:colOff>
      <xdr:row>93</xdr:row>
      <xdr:rowOff>0</xdr:rowOff>
    </xdr:to>
    <xdr:sp macro="" textlink="">
      <xdr:nvSpPr>
        <xdr:cNvPr id="521" name="nuNumber: 535" hidden="1">
          <a:extLst>
            <a:ext uri="{FF2B5EF4-FFF2-40B4-BE49-F238E27FC236}">
              <a16:creationId xmlns:a16="http://schemas.microsoft.com/office/drawing/2014/main" id="{4606F5AF-9217-42CB-9538-BD099001FDD6}"/>
            </a:ext>
          </a:extLst>
        </xdr:cNvPr>
        <xdr:cNvSpPr/>
      </xdr:nvSpPr>
      <xdr:spPr bwMode="auto">
        <a:xfrm>
          <a:off x="8105775" y="19550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92</xdr:row>
      <xdr:rowOff>119380</xdr:rowOff>
    </xdr:from>
    <xdr:to>
      <xdr:col>12</xdr:col>
      <xdr:colOff>63500</xdr:colOff>
      <xdr:row>93</xdr:row>
      <xdr:rowOff>0</xdr:rowOff>
    </xdr:to>
    <xdr:sp macro="" textlink="">
      <xdr:nvSpPr>
        <xdr:cNvPr id="522" name="nuNumber: 536" hidden="1">
          <a:extLst>
            <a:ext uri="{FF2B5EF4-FFF2-40B4-BE49-F238E27FC236}">
              <a16:creationId xmlns:a16="http://schemas.microsoft.com/office/drawing/2014/main" id="{0DF9F1FF-6B29-4B46-A12A-4798061C38C0}"/>
            </a:ext>
          </a:extLst>
        </xdr:cNvPr>
        <xdr:cNvSpPr/>
      </xdr:nvSpPr>
      <xdr:spPr bwMode="auto">
        <a:xfrm>
          <a:off x="8972550" y="19550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92</xdr:row>
      <xdr:rowOff>119380</xdr:rowOff>
    </xdr:from>
    <xdr:to>
      <xdr:col>13</xdr:col>
      <xdr:colOff>63500</xdr:colOff>
      <xdr:row>93</xdr:row>
      <xdr:rowOff>0</xdr:rowOff>
    </xdr:to>
    <xdr:sp macro="" textlink="">
      <xdr:nvSpPr>
        <xdr:cNvPr id="523" name="nuNumber: 537" hidden="1">
          <a:extLst>
            <a:ext uri="{FF2B5EF4-FFF2-40B4-BE49-F238E27FC236}">
              <a16:creationId xmlns:a16="http://schemas.microsoft.com/office/drawing/2014/main" id="{5281B0C1-D386-45C0-9CBF-49FF3CC26423}"/>
            </a:ext>
          </a:extLst>
        </xdr:cNvPr>
        <xdr:cNvSpPr/>
      </xdr:nvSpPr>
      <xdr:spPr bwMode="auto">
        <a:xfrm>
          <a:off x="9753600" y="19550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92</xdr:row>
      <xdr:rowOff>119380</xdr:rowOff>
    </xdr:from>
    <xdr:to>
      <xdr:col>14</xdr:col>
      <xdr:colOff>63500</xdr:colOff>
      <xdr:row>93</xdr:row>
      <xdr:rowOff>0</xdr:rowOff>
    </xdr:to>
    <xdr:sp macro="" textlink="">
      <xdr:nvSpPr>
        <xdr:cNvPr id="524" name="nuNumber: 538" hidden="1">
          <a:extLst>
            <a:ext uri="{FF2B5EF4-FFF2-40B4-BE49-F238E27FC236}">
              <a16:creationId xmlns:a16="http://schemas.microsoft.com/office/drawing/2014/main" id="{36756689-9064-470C-BE23-C340BB73464C}"/>
            </a:ext>
          </a:extLst>
        </xdr:cNvPr>
        <xdr:cNvSpPr/>
      </xdr:nvSpPr>
      <xdr:spPr bwMode="auto">
        <a:xfrm>
          <a:off x="10515600" y="19550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92</xdr:row>
      <xdr:rowOff>119380</xdr:rowOff>
    </xdr:from>
    <xdr:to>
      <xdr:col>15</xdr:col>
      <xdr:colOff>63500</xdr:colOff>
      <xdr:row>93</xdr:row>
      <xdr:rowOff>0</xdr:rowOff>
    </xdr:to>
    <xdr:sp macro="" textlink="">
      <xdr:nvSpPr>
        <xdr:cNvPr id="525" name="nuNumber: 539" hidden="1">
          <a:extLst>
            <a:ext uri="{FF2B5EF4-FFF2-40B4-BE49-F238E27FC236}">
              <a16:creationId xmlns:a16="http://schemas.microsoft.com/office/drawing/2014/main" id="{52F40B98-10A0-42A4-9FD2-27C3EF10EBEB}"/>
            </a:ext>
          </a:extLst>
        </xdr:cNvPr>
        <xdr:cNvSpPr/>
      </xdr:nvSpPr>
      <xdr:spPr bwMode="auto">
        <a:xfrm>
          <a:off x="11325225" y="19550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92</xdr:row>
      <xdr:rowOff>119380</xdr:rowOff>
    </xdr:from>
    <xdr:to>
      <xdr:col>16</xdr:col>
      <xdr:colOff>63500</xdr:colOff>
      <xdr:row>93</xdr:row>
      <xdr:rowOff>0</xdr:rowOff>
    </xdr:to>
    <xdr:sp macro="" textlink="">
      <xdr:nvSpPr>
        <xdr:cNvPr id="526" name="nuNumber: 540" hidden="1">
          <a:extLst>
            <a:ext uri="{FF2B5EF4-FFF2-40B4-BE49-F238E27FC236}">
              <a16:creationId xmlns:a16="http://schemas.microsoft.com/office/drawing/2014/main" id="{F900A40E-8C9E-424D-8FB2-EF5CE3276967}"/>
            </a:ext>
          </a:extLst>
        </xdr:cNvPr>
        <xdr:cNvSpPr/>
      </xdr:nvSpPr>
      <xdr:spPr bwMode="auto">
        <a:xfrm>
          <a:off x="12106275" y="19550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92</xdr:row>
      <xdr:rowOff>119380</xdr:rowOff>
    </xdr:from>
    <xdr:to>
      <xdr:col>17</xdr:col>
      <xdr:colOff>63500</xdr:colOff>
      <xdr:row>93</xdr:row>
      <xdr:rowOff>0</xdr:rowOff>
    </xdr:to>
    <xdr:sp macro="" textlink="">
      <xdr:nvSpPr>
        <xdr:cNvPr id="527" name="nuNumber: 541" hidden="1">
          <a:extLst>
            <a:ext uri="{FF2B5EF4-FFF2-40B4-BE49-F238E27FC236}">
              <a16:creationId xmlns:a16="http://schemas.microsoft.com/office/drawing/2014/main" id="{A03248E1-9BC8-4D1E-8475-586BC1FB80F6}"/>
            </a:ext>
          </a:extLst>
        </xdr:cNvPr>
        <xdr:cNvSpPr/>
      </xdr:nvSpPr>
      <xdr:spPr bwMode="auto">
        <a:xfrm>
          <a:off x="12887325" y="19550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92</xdr:row>
      <xdr:rowOff>119380</xdr:rowOff>
    </xdr:from>
    <xdr:to>
      <xdr:col>18</xdr:col>
      <xdr:colOff>63499</xdr:colOff>
      <xdr:row>93</xdr:row>
      <xdr:rowOff>0</xdr:rowOff>
    </xdr:to>
    <xdr:sp macro="" textlink="">
      <xdr:nvSpPr>
        <xdr:cNvPr id="528" name="nuNumber: 542" hidden="1">
          <a:extLst>
            <a:ext uri="{FF2B5EF4-FFF2-40B4-BE49-F238E27FC236}">
              <a16:creationId xmlns:a16="http://schemas.microsoft.com/office/drawing/2014/main" id="{77DBE76B-A2FB-4203-922E-14EAC66BBF63}"/>
            </a:ext>
          </a:extLst>
        </xdr:cNvPr>
        <xdr:cNvSpPr/>
      </xdr:nvSpPr>
      <xdr:spPr bwMode="auto">
        <a:xfrm>
          <a:off x="13624559" y="1955038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92</xdr:row>
      <xdr:rowOff>119380</xdr:rowOff>
    </xdr:from>
    <xdr:to>
      <xdr:col>19</xdr:col>
      <xdr:colOff>63500</xdr:colOff>
      <xdr:row>93</xdr:row>
      <xdr:rowOff>0</xdr:rowOff>
    </xdr:to>
    <xdr:sp macro="" textlink="">
      <xdr:nvSpPr>
        <xdr:cNvPr id="529" name="nuNumber: 543" hidden="1">
          <a:extLst>
            <a:ext uri="{FF2B5EF4-FFF2-40B4-BE49-F238E27FC236}">
              <a16:creationId xmlns:a16="http://schemas.microsoft.com/office/drawing/2014/main" id="{D86CD6A8-9C57-4FF4-89A4-1E9B61F89062}"/>
            </a:ext>
          </a:extLst>
        </xdr:cNvPr>
        <xdr:cNvSpPr/>
      </xdr:nvSpPr>
      <xdr:spPr bwMode="auto">
        <a:xfrm>
          <a:off x="14382750" y="19550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92</xdr:row>
      <xdr:rowOff>119380</xdr:rowOff>
    </xdr:from>
    <xdr:to>
      <xdr:col>20</xdr:col>
      <xdr:colOff>63500</xdr:colOff>
      <xdr:row>93</xdr:row>
      <xdr:rowOff>0</xdr:rowOff>
    </xdr:to>
    <xdr:sp macro="" textlink="">
      <xdr:nvSpPr>
        <xdr:cNvPr id="530" name="nuNumber: 544" hidden="1">
          <a:extLst>
            <a:ext uri="{FF2B5EF4-FFF2-40B4-BE49-F238E27FC236}">
              <a16:creationId xmlns:a16="http://schemas.microsoft.com/office/drawing/2014/main" id="{A878FDC0-046B-42B5-8F5D-7C093B2B64DE}"/>
            </a:ext>
          </a:extLst>
        </xdr:cNvPr>
        <xdr:cNvSpPr/>
      </xdr:nvSpPr>
      <xdr:spPr bwMode="auto">
        <a:xfrm>
          <a:off x="15135225" y="19550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92</xdr:row>
      <xdr:rowOff>119380</xdr:rowOff>
    </xdr:from>
    <xdr:to>
      <xdr:col>21</xdr:col>
      <xdr:colOff>63500</xdr:colOff>
      <xdr:row>93</xdr:row>
      <xdr:rowOff>0</xdr:rowOff>
    </xdr:to>
    <xdr:sp macro="" textlink="">
      <xdr:nvSpPr>
        <xdr:cNvPr id="531" name="nuNumber: 545" hidden="1">
          <a:extLst>
            <a:ext uri="{FF2B5EF4-FFF2-40B4-BE49-F238E27FC236}">
              <a16:creationId xmlns:a16="http://schemas.microsoft.com/office/drawing/2014/main" id="{CB4134C7-953E-41FF-B985-F1277ADE9562}"/>
            </a:ext>
          </a:extLst>
        </xdr:cNvPr>
        <xdr:cNvSpPr/>
      </xdr:nvSpPr>
      <xdr:spPr bwMode="auto">
        <a:xfrm>
          <a:off x="15849600" y="19550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93</xdr:row>
      <xdr:rowOff>119380</xdr:rowOff>
    </xdr:from>
    <xdr:to>
      <xdr:col>6</xdr:col>
      <xdr:colOff>63500</xdr:colOff>
      <xdr:row>94</xdr:row>
      <xdr:rowOff>0</xdr:rowOff>
    </xdr:to>
    <xdr:sp macro="" textlink="">
      <xdr:nvSpPr>
        <xdr:cNvPr id="532" name="nuNumber: 546" hidden="1">
          <a:extLst>
            <a:ext uri="{FF2B5EF4-FFF2-40B4-BE49-F238E27FC236}">
              <a16:creationId xmlns:a16="http://schemas.microsoft.com/office/drawing/2014/main" id="{5578E2BD-BF4C-4434-8C0D-0EB531FBC7E6}"/>
            </a:ext>
          </a:extLst>
        </xdr:cNvPr>
        <xdr:cNvSpPr/>
      </xdr:nvSpPr>
      <xdr:spPr bwMode="auto">
        <a:xfrm>
          <a:off x="3800475" y="19759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93</xdr:row>
      <xdr:rowOff>119380</xdr:rowOff>
    </xdr:from>
    <xdr:to>
      <xdr:col>7</xdr:col>
      <xdr:colOff>63500</xdr:colOff>
      <xdr:row>94</xdr:row>
      <xdr:rowOff>0</xdr:rowOff>
    </xdr:to>
    <xdr:sp macro="" textlink="">
      <xdr:nvSpPr>
        <xdr:cNvPr id="533" name="nuNumber: 547" hidden="1">
          <a:extLst>
            <a:ext uri="{FF2B5EF4-FFF2-40B4-BE49-F238E27FC236}">
              <a16:creationId xmlns:a16="http://schemas.microsoft.com/office/drawing/2014/main" id="{8DA6464F-032E-4D7E-AD32-3AB32F66A323}"/>
            </a:ext>
          </a:extLst>
        </xdr:cNvPr>
        <xdr:cNvSpPr/>
      </xdr:nvSpPr>
      <xdr:spPr bwMode="auto">
        <a:xfrm>
          <a:off x="4676775" y="19759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93</xdr:row>
      <xdr:rowOff>119380</xdr:rowOff>
    </xdr:from>
    <xdr:to>
      <xdr:col>8</xdr:col>
      <xdr:colOff>63500</xdr:colOff>
      <xdr:row>94</xdr:row>
      <xdr:rowOff>0</xdr:rowOff>
    </xdr:to>
    <xdr:sp macro="" textlink="">
      <xdr:nvSpPr>
        <xdr:cNvPr id="534" name="nuNumber: 548" hidden="1">
          <a:extLst>
            <a:ext uri="{FF2B5EF4-FFF2-40B4-BE49-F238E27FC236}">
              <a16:creationId xmlns:a16="http://schemas.microsoft.com/office/drawing/2014/main" id="{0A078BE1-5CE1-43AA-90F4-99334868FCE8}"/>
            </a:ext>
          </a:extLst>
        </xdr:cNvPr>
        <xdr:cNvSpPr/>
      </xdr:nvSpPr>
      <xdr:spPr bwMode="auto">
        <a:xfrm>
          <a:off x="5562600" y="19759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93</xdr:row>
      <xdr:rowOff>119380</xdr:rowOff>
    </xdr:from>
    <xdr:to>
      <xdr:col>9</xdr:col>
      <xdr:colOff>63500</xdr:colOff>
      <xdr:row>94</xdr:row>
      <xdr:rowOff>0</xdr:rowOff>
    </xdr:to>
    <xdr:sp macro="" textlink="">
      <xdr:nvSpPr>
        <xdr:cNvPr id="535" name="nuNumber: 549" hidden="1">
          <a:extLst>
            <a:ext uri="{FF2B5EF4-FFF2-40B4-BE49-F238E27FC236}">
              <a16:creationId xmlns:a16="http://schemas.microsoft.com/office/drawing/2014/main" id="{B9FC32D3-2D7C-4D5D-B8F5-5E7660C8D61E}"/>
            </a:ext>
          </a:extLst>
        </xdr:cNvPr>
        <xdr:cNvSpPr/>
      </xdr:nvSpPr>
      <xdr:spPr bwMode="auto">
        <a:xfrm>
          <a:off x="6467475" y="19759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93</xdr:row>
      <xdr:rowOff>119380</xdr:rowOff>
    </xdr:from>
    <xdr:to>
      <xdr:col>9</xdr:col>
      <xdr:colOff>63500</xdr:colOff>
      <xdr:row>94</xdr:row>
      <xdr:rowOff>0</xdr:rowOff>
    </xdr:to>
    <xdr:sp macro="" textlink="">
      <xdr:nvSpPr>
        <xdr:cNvPr id="536" name="nuNumber: 550" hidden="1">
          <a:extLst>
            <a:ext uri="{FF2B5EF4-FFF2-40B4-BE49-F238E27FC236}">
              <a16:creationId xmlns:a16="http://schemas.microsoft.com/office/drawing/2014/main" id="{B68BB777-D429-437F-B48B-2857C0AB9DF4}"/>
            </a:ext>
          </a:extLst>
        </xdr:cNvPr>
        <xdr:cNvSpPr/>
      </xdr:nvSpPr>
      <xdr:spPr bwMode="auto">
        <a:xfrm>
          <a:off x="6467475" y="19759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93</xdr:row>
      <xdr:rowOff>119380</xdr:rowOff>
    </xdr:from>
    <xdr:to>
      <xdr:col>11</xdr:col>
      <xdr:colOff>63500</xdr:colOff>
      <xdr:row>94</xdr:row>
      <xdr:rowOff>0</xdr:rowOff>
    </xdr:to>
    <xdr:sp macro="" textlink="">
      <xdr:nvSpPr>
        <xdr:cNvPr id="537" name="nuNumber: 551" hidden="1">
          <a:extLst>
            <a:ext uri="{FF2B5EF4-FFF2-40B4-BE49-F238E27FC236}">
              <a16:creationId xmlns:a16="http://schemas.microsoft.com/office/drawing/2014/main" id="{A3D5B95C-D1F5-4C21-A2D5-981E78597ACB}"/>
            </a:ext>
          </a:extLst>
        </xdr:cNvPr>
        <xdr:cNvSpPr/>
      </xdr:nvSpPr>
      <xdr:spPr bwMode="auto">
        <a:xfrm>
          <a:off x="8105775" y="19759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93</xdr:row>
      <xdr:rowOff>119380</xdr:rowOff>
    </xdr:from>
    <xdr:to>
      <xdr:col>12</xdr:col>
      <xdr:colOff>63500</xdr:colOff>
      <xdr:row>94</xdr:row>
      <xdr:rowOff>0</xdr:rowOff>
    </xdr:to>
    <xdr:sp macro="" textlink="">
      <xdr:nvSpPr>
        <xdr:cNvPr id="538" name="nuNumber: 552" hidden="1">
          <a:extLst>
            <a:ext uri="{FF2B5EF4-FFF2-40B4-BE49-F238E27FC236}">
              <a16:creationId xmlns:a16="http://schemas.microsoft.com/office/drawing/2014/main" id="{60C0693F-51B3-4852-A5C7-64AB7C059DFB}"/>
            </a:ext>
          </a:extLst>
        </xdr:cNvPr>
        <xdr:cNvSpPr/>
      </xdr:nvSpPr>
      <xdr:spPr bwMode="auto">
        <a:xfrm>
          <a:off x="8972550" y="19759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93</xdr:row>
      <xdr:rowOff>119380</xdr:rowOff>
    </xdr:from>
    <xdr:to>
      <xdr:col>13</xdr:col>
      <xdr:colOff>63500</xdr:colOff>
      <xdr:row>94</xdr:row>
      <xdr:rowOff>0</xdr:rowOff>
    </xdr:to>
    <xdr:sp macro="" textlink="">
      <xdr:nvSpPr>
        <xdr:cNvPr id="539" name="nuNumber: 553" hidden="1">
          <a:extLst>
            <a:ext uri="{FF2B5EF4-FFF2-40B4-BE49-F238E27FC236}">
              <a16:creationId xmlns:a16="http://schemas.microsoft.com/office/drawing/2014/main" id="{9EDE9A06-058A-473E-8E7F-8B1400BFE4CA}"/>
            </a:ext>
          </a:extLst>
        </xdr:cNvPr>
        <xdr:cNvSpPr/>
      </xdr:nvSpPr>
      <xdr:spPr bwMode="auto">
        <a:xfrm>
          <a:off x="9753600" y="19759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93</xdr:row>
      <xdr:rowOff>119380</xdr:rowOff>
    </xdr:from>
    <xdr:to>
      <xdr:col>14</xdr:col>
      <xdr:colOff>63500</xdr:colOff>
      <xdr:row>94</xdr:row>
      <xdr:rowOff>0</xdr:rowOff>
    </xdr:to>
    <xdr:sp macro="" textlink="">
      <xdr:nvSpPr>
        <xdr:cNvPr id="540" name="nuNumber: 554" hidden="1">
          <a:extLst>
            <a:ext uri="{FF2B5EF4-FFF2-40B4-BE49-F238E27FC236}">
              <a16:creationId xmlns:a16="http://schemas.microsoft.com/office/drawing/2014/main" id="{08BDC12C-4DBC-4903-A36C-4368D05EA13D}"/>
            </a:ext>
          </a:extLst>
        </xdr:cNvPr>
        <xdr:cNvSpPr/>
      </xdr:nvSpPr>
      <xdr:spPr bwMode="auto">
        <a:xfrm>
          <a:off x="10515600" y="19759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93</xdr:row>
      <xdr:rowOff>119380</xdr:rowOff>
    </xdr:from>
    <xdr:to>
      <xdr:col>15</xdr:col>
      <xdr:colOff>63500</xdr:colOff>
      <xdr:row>94</xdr:row>
      <xdr:rowOff>0</xdr:rowOff>
    </xdr:to>
    <xdr:sp macro="" textlink="">
      <xdr:nvSpPr>
        <xdr:cNvPr id="541" name="nuNumber: 555" hidden="1">
          <a:extLst>
            <a:ext uri="{FF2B5EF4-FFF2-40B4-BE49-F238E27FC236}">
              <a16:creationId xmlns:a16="http://schemas.microsoft.com/office/drawing/2014/main" id="{5D744A37-3FCC-4F02-9726-8C6AD0D5A778}"/>
            </a:ext>
          </a:extLst>
        </xdr:cNvPr>
        <xdr:cNvSpPr/>
      </xdr:nvSpPr>
      <xdr:spPr bwMode="auto">
        <a:xfrm>
          <a:off x="11325225" y="19759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93</xdr:row>
      <xdr:rowOff>119380</xdr:rowOff>
    </xdr:from>
    <xdr:to>
      <xdr:col>16</xdr:col>
      <xdr:colOff>63500</xdr:colOff>
      <xdr:row>94</xdr:row>
      <xdr:rowOff>0</xdr:rowOff>
    </xdr:to>
    <xdr:sp macro="" textlink="">
      <xdr:nvSpPr>
        <xdr:cNvPr id="542" name="nuNumber: 556" hidden="1">
          <a:extLst>
            <a:ext uri="{FF2B5EF4-FFF2-40B4-BE49-F238E27FC236}">
              <a16:creationId xmlns:a16="http://schemas.microsoft.com/office/drawing/2014/main" id="{BD2189B3-65AF-4C57-9C9C-BEACB1CAA2A6}"/>
            </a:ext>
          </a:extLst>
        </xdr:cNvPr>
        <xdr:cNvSpPr/>
      </xdr:nvSpPr>
      <xdr:spPr bwMode="auto">
        <a:xfrm>
          <a:off x="12106275" y="19759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93</xdr:row>
      <xdr:rowOff>119380</xdr:rowOff>
    </xdr:from>
    <xdr:to>
      <xdr:col>17</xdr:col>
      <xdr:colOff>63500</xdr:colOff>
      <xdr:row>94</xdr:row>
      <xdr:rowOff>0</xdr:rowOff>
    </xdr:to>
    <xdr:sp macro="" textlink="">
      <xdr:nvSpPr>
        <xdr:cNvPr id="543" name="nuNumber: 557" hidden="1">
          <a:extLst>
            <a:ext uri="{FF2B5EF4-FFF2-40B4-BE49-F238E27FC236}">
              <a16:creationId xmlns:a16="http://schemas.microsoft.com/office/drawing/2014/main" id="{582CED48-90EB-4724-BD97-72EDFFE19183}"/>
            </a:ext>
          </a:extLst>
        </xdr:cNvPr>
        <xdr:cNvSpPr/>
      </xdr:nvSpPr>
      <xdr:spPr bwMode="auto">
        <a:xfrm>
          <a:off x="12887325" y="19759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93</xdr:row>
      <xdr:rowOff>119380</xdr:rowOff>
    </xdr:from>
    <xdr:to>
      <xdr:col>18</xdr:col>
      <xdr:colOff>63499</xdr:colOff>
      <xdr:row>94</xdr:row>
      <xdr:rowOff>0</xdr:rowOff>
    </xdr:to>
    <xdr:sp macro="" textlink="">
      <xdr:nvSpPr>
        <xdr:cNvPr id="544" name="nuNumber: 558" hidden="1">
          <a:extLst>
            <a:ext uri="{FF2B5EF4-FFF2-40B4-BE49-F238E27FC236}">
              <a16:creationId xmlns:a16="http://schemas.microsoft.com/office/drawing/2014/main" id="{E51877C3-7D03-4775-A03E-9B1F78A8DF17}"/>
            </a:ext>
          </a:extLst>
        </xdr:cNvPr>
        <xdr:cNvSpPr/>
      </xdr:nvSpPr>
      <xdr:spPr bwMode="auto">
        <a:xfrm>
          <a:off x="13624559" y="1975993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93</xdr:row>
      <xdr:rowOff>119380</xdr:rowOff>
    </xdr:from>
    <xdr:to>
      <xdr:col>19</xdr:col>
      <xdr:colOff>63500</xdr:colOff>
      <xdr:row>94</xdr:row>
      <xdr:rowOff>0</xdr:rowOff>
    </xdr:to>
    <xdr:sp macro="" textlink="">
      <xdr:nvSpPr>
        <xdr:cNvPr id="545" name="nuNumber: 559" hidden="1">
          <a:extLst>
            <a:ext uri="{FF2B5EF4-FFF2-40B4-BE49-F238E27FC236}">
              <a16:creationId xmlns:a16="http://schemas.microsoft.com/office/drawing/2014/main" id="{7EE77F0A-BA87-483B-A84B-6E292044B88A}"/>
            </a:ext>
          </a:extLst>
        </xdr:cNvPr>
        <xdr:cNvSpPr/>
      </xdr:nvSpPr>
      <xdr:spPr bwMode="auto">
        <a:xfrm>
          <a:off x="14382750" y="19759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93</xdr:row>
      <xdr:rowOff>119380</xdr:rowOff>
    </xdr:from>
    <xdr:to>
      <xdr:col>20</xdr:col>
      <xdr:colOff>63500</xdr:colOff>
      <xdr:row>94</xdr:row>
      <xdr:rowOff>0</xdr:rowOff>
    </xdr:to>
    <xdr:sp macro="" textlink="">
      <xdr:nvSpPr>
        <xdr:cNvPr id="546" name="nuNumber: 560" hidden="1">
          <a:extLst>
            <a:ext uri="{FF2B5EF4-FFF2-40B4-BE49-F238E27FC236}">
              <a16:creationId xmlns:a16="http://schemas.microsoft.com/office/drawing/2014/main" id="{85C80C5E-0BC1-4D72-B7F6-BDAB1E3B405B}"/>
            </a:ext>
          </a:extLst>
        </xdr:cNvPr>
        <xdr:cNvSpPr/>
      </xdr:nvSpPr>
      <xdr:spPr bwMode="auto">
        <a:xfrm>
          <a:off x="15135225" y="19759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93</xdr:row>
      <xdr:rowOff>119380</xdr:rowOff>
    </xdr:from>
    <xdr:to>
      <xdr:col>21</xdr:col>
      <xdr:colOff>63500</xdr:colOff>
      <xdr:row>94</xdr:row>
      <xdr:rowOff>0</xdr:rowOff>
    </xdr:to>
    <xdr:sp macro="" textlink="">
      <xdr:nvSpPr>
        <xdr:cNvPr id="547" name="nuNumber: 561" hidden="1">
          <a:extLst>
            <a:ext uri="{FF2B5EF4-FFF2-40B4-BE49-F238E27FC236}">
              <a16:creationId xmlns:a16="http://schemas.microsoft.com/office/drawing/2014/main" id="{8DA37476-1BAF-4406-96D2-66F30AD02044}"/>
            </a:ext>
          </a:extLst>
        </xdr:cNvPr>
        <xdr:cNvSpPr/>
      </xdr:nvSpPr>
      <xdr:spPr bwMode="auto">
        <a:xfrm>
          <a:off x="15849600" y="19759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97</xdr:row>
      <xdr:rowOff>119379</xdr:rowOff>
    </xdr:from>
    <xdr:to>
      <xdr:col>7</xdr:col>
      <xdr:colOff>63500</xdr:colOff>
      <xdr:row>97</xdr:row>
      <xdr:rowOff>182879</xdr:rowOff>
    </xdr:to>
    <xdr:sp macro="" textlink="">
      <xdr:nvSpPr>
        <xdr:cNvPr id="548" name="nuNumber: 562" hidden="1">
          <a:extLst>
            <a:ext uri="{FF2B5EF4-FFF2-40B4-BE49-F238E27FC236}">
              <a16:creationId xmlns:a16="http://schemas.microsoft.com/office/drawing/2014/main" id="{58D0A537-B7B7-459D-A03D-AD5D4569441E}"/>
            </a:ext>
          </a:extLst>
        </xdr:cNvPr>
        <xdr:cNvSpPr/>
      </xdr:nvSpPr>
      <xdr:spPr bwMode="auto">
        <a:xfrm>
          <a:off x="4676775" y="206267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97</xdr:row>
      <xdr:rowOff>119379</xdr:rowOff>
    </xdr:from>
    <xdr:to>
      <xdr:col>8</xdr:col>
      <xdr:colOff>63500</xdr:colOff>
      <xdr:row>97</xdr:row>
      <xdr:rowOff>182879</xdr:rowOff>
    </xdr:to>
    <xdr:sp macro="" textlink="">
      <xdr:nvSpPr>
        <xdr:cNvPr id="549" name="nuNumber: 563" hidden="1">
          <a:extLst>
            <a:ext uri="{FF2B5EF4-FFF2-40B4-BE49-F238E27FC236}">
              <a16:creationId xmlns:a16="http://schemas.microsoft.com/office/drawing/2014/main" id="{8B248F87-8DFB-4231-A3D8-D217445042C4}"/>
            </a:ext>
          </a:extLst>
        </xdr:cNvPr>
        <xdr:cNvSpPr/>
      </xdr:nvSpPr>
      <xdr:spPr bwMode="auto">
        <a:xfrm>
          <a:off x="5562600" y="206267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97</xdr:row>
      <xdr:rowOff>119379</xdr:rowOff>
    </xdr:from>
    <xdr:to>
      <xdr:col>9</xdr:col>
      <xdr:colOff>63500</xdr:colOff>
      <xdr:row>97</xdr:row>
      <xdr:rowOff>182879</xdr:rowOff>
    </xdr:to>
    <xdr:sp macro="" textlink="">
      <xdr:nvSpPr>
        <xdr:cNvPr id="550" name="nuNumber: 564" hidden="1">
          <a:extLst>
            <a:ext uri="{FF2B5EF4-FFF2-40B4-BE49-F238E27FC236}">
              <a16:creationId xmlns:a16="http://schemas.microsoft.com/office/drawing/2014/main" id="{63701164-096E-4A4A-B0D6-14D40E623B2C}"/>
            </a:ext>
          </a:extLst>
        </xdr:cNvPr>
        <xdr:cNvSpPr/>
      </xdr:nvSpPr>
      <xdr:spPr bwMode="auto">
        <a:xfrm>
          <a:off x="6467475" y="206267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97</xdr:row>
      <xdr:rowOff>119379</xdr:rowOff>
    </xdr:from>
    <xdr:to>
      <xdr:col>11</xdr:col>
      <xdr:colOff>63500</xdr:colOff>
      <xdr:row>97</xdr:row>
      <xdr:rowOff>182879</xdr:rowOff>
    </xdr:to>
    <xdr:sp macro="" textlink="">
      <xdr:nvSpPr>
        <xdr:cNvPr id="551" name="nuNumber: 565" hidden="1">
          <a:extLst>
            <a:ext uri="{FF2B5EF4-FFF2-40B4-BE49-F238E27FC236}">
              <a16:creationId xmlns:a16="http://schemas.microsoft.com/office/drawing/2014/main" id="{A70F5B66-F9A8-4D55-85CF-76C3539F23EF}"/>
            </a:ext>
          </a:extLst>
        </xdr:cNvPr>
        <xdr:cNvSpPr/>
      </xdr:nvSpPr>
      <xdr:spPr bwMode="auto">
        <a:xfrm>
          <a:off x="8105775" y="206267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97</xdr:row>
      <xdr:rowOff>119379</xdr:rowOff>
    </xdr:from>
    <xdr:to>
      <xdr:col>12</xdr:col>
      <xdr:colOff>63500</xdr:colOff>
      <xdr:row>97</xdr:row>
      <xdr:rowOff>182879</xdr:rowOff>
    </xdr:to>
    <xdr:sp macro="" textlink="">
      <xdr:nvSpPr>
        <xdr:cNvPr id="552" name="nuNumber: 566" hidden="1">
          <a:extLst>
            <a:ext uri="{FF2B5EF4-FFF2-40B4-BE49-F238E27FC236}">
              <a16:creationId xmlns:a16="http://schemas.microsoft.com/office/drawing/2014/main" id="{27726E3D-31F2-4E07-B028-28D59EF58356}"/>
            </a:ext>
          </a:extLst>
        </xdr:cNvPr>
        <xdr:cNvSpPr/>
      </xdr:nvSpPr>
      <xdr:spPr bwMode="auto">
        <a:xfrm>
          <a:off x="8972550" y="206267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97</xdr:row>
      <xdr:rowOff>119379</xdr:rowOff>
    </xdr:from>
    <xdr:to>
      <xdr:col>13</xdr:col>
      <xdr:colOff>63500</xdr:colOff>
      <xdr:row>97</xdr:row>
      <xdr:rowOff>182879</xdr:rowOff>
    </xdr:to>
    <xdr:sp macro="" textlink="">
      <xdr:nvSpPr>
        <xdr:cNvPr id="553" name="nuNumber: 567" hidden="1">
          <a:extLst>
            <a:ext uri="{FF2B5EF4-FFF2-40B4-BE49-F238E27FC236}">
              <a16:creationId xmlns:a16="http://schemas.microsoft.com/office/drawing/2014/main" id="{B33B280B-92E0-4DAC-8096-FE8B0D2403FB}"/>
            </a:ext>
          </a:extLst>
        </xdr:cNvPr>
        <xdr:cNvSpPr/>
      </xdr:nvSpPr>
      <xdr:spPr bwMode="auto">
        <a:xfrm>
          <a:off x="9753600" y="206267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97</xdr:row>
      <xdr:rowOff>119379</xdr:rowOff>
    </xdr:from>
    <xdr:to>
      <xdr:col>14</xdr:col>
      <xdr:colOff>63500</xdr:colOff>
      <xdr:row>97</xdr:row>
      <xdr:rowOff>182879</xdr:rowOff>
    </xdr:to>
    <xdr:sp macro="" textlink="">
      <xdr:nvSpPr>
        <xdr:cNvPr id="554" name="nuNumber: 568" hidden="1">
          <a:extLst>
            <a:ext uri="{FF2B5EF4-FFF2-40B4-BE49-F238E27FC236}">
              <a16:creationId xmlns:a16="http://schemas.microsoft.com/office/drawing/2014/main" id="{F891D56A-53E3-4EE2-8033-A217F7B9C872}"/>
            </a:ext>
          </a:extLst>
        </xdr:cNvPr>
        <xdr:cNvSpPr/>
      </xdr:nvSpPr>
      <xdr:spPr bwMode="auto">
        <a:xfrm>
          <a:off x="10515600" y="206267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97</xdr:row>
      <xdr:rowOff>119379</xdr:rowOff>
    </xdr:from>
    <xdr:to>
      <xdr:col>15</xdr:col>
      <xdr:colOff>63500</xdr:colOff>
      <xdr:row>97</xdr:row>
      <xdr:rowOff>182879</xdr:rowOff>
    </xdr:to>
    <xdr:sp macro="" textlink="">
      <xdr:nvSpPr>
        <xdr:cNvPr id="555" name="nuNumber: 569" hidden="1">
          <a:extLst>
            <a:ext uri="{FF2B5EF4-FFF2-40B4-BE49-F238E27FC236}">
              <a16:creationId xmlns:a16="http://schemas.microsoft.com/office/drawing/2014/main" id="{E9AC14A6-DDE0-4603-92C6-1A193B149CFA}"/>
            </a:ext>
          </a:extLst>
        </xdr:cNvPr>
        <xdr:cNvSpPr/>
      </xdr:nvSpPr>
      <xdr:spPr bwMode="auto">
        <a:xfrm>
          <a:off x="11325225" y="206267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97</xdr:row>
      <xdr:rowOff>119379</xdr:rowOff>
    </xdr:from>
    <xdr:to>
      <xdr:col>16</xdr:col>
      <xdr:colOff>63500</xdr:colOff>
      <xdr:row>97</xdr:row>
      <xdr:rowOff>182879</xdr:rowOff>
    </xdr:to>
    <xdr:sp macro="" textlink="">
      <xdr:nvSpPr>
        <xdr:cNvPr id="556" name="nuNumber: 570" hidden="1">
          <a:extLst>
            <a:ext uri="{FF2B5EF4-FFF2-40B4-BE49-F238E27FC236}">
              <a16:creationId xmlns:a16="http://schemas.microsoft.com/office/drawing/2014/main" id="{C56289F1-ACE3-443E-81FB-9E41D22F0A35}"/>
            </a:ext>
          </a:extLst>
        </xdr:cNvPr>
        <xdr:cNvSpPr/>
      </xdr:nvSpPr>
      <xdr:spPr bwMode="auto">
        <a:xfrm>
          <a:off x="12106275" y="206267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97</xdr:row>
      <xdr:rowOff>119379</xdr:rowOff>
    </xdr:from>
    <xdr:to>
      <xdr:col>17</xdr:col>
      <xdr:colOff>63500</xdr:colOff>
      <xdr:row>97</xdr:row>
      <xdr:rowOff>182879</xdr:rowOff>
    </xdr:to>
    <xdr:sp macro="" textlink="">
      <xdr:nvSpPr>
        <xdr:cNvPr id="557" name="nuNumber: 571" hidden="1">
          <a:extLst>
            <a:ext uri="{FF2B5EF4-FFF2-40B4-BE49-F238E27FC236}">
              <a16:creationId xmlns:a16="http://schemas.microsoft.com/office/drawing/2014/main" id="{B88E1CF9-4D2B-442B-A971-5673FCF3C4CE}"/>
            </a:ext>
          </a:extLst>
        </xdr:cNvPr>
        <xdr:cNvSpPr/>
      </xdr:nvSpPr>
      <xdr:spPr bwMode="auto">
        <a:xfrm>
          <a:off x="12887325" y="206267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97</xdr:row>
      <xdr:rowOff>119379</xdr:rowOff>
    </xdr:from>
    <xdr:to>
      <xdr:col>18</xdr:col>
      <xdr:colOff>63499</xdr:colOff>
      <xdr:row>97</xdr:row>
      <xdr:rowOff>182879</xdr:rowOff>
    </xdr:to>
    <xdr:sp macro="" textlink="">
      <xdr:nvSpPr>
        <xdr:cNvPr id="558" name="nuNumber: 572" hidden="1">
          <a:extLst>
            <a:ext uri="{FF2B5EF4-FFF2-40B4-BE49-F238E27FC236}">
              <a16:creationId xmlns:a16="http://schemas.microsoft.com/office/drawing/2014/main" id="{F3497891-4514-4B3F-901B-29FF5F040204}"/>
            </a:ext>
          </a:extLst>
        </xdr:cNvPr>
        <xdr:cNvSpPr/>
      </xdr:nvSpPr>
      <xdr:spPr bwMode="auto">
        <a:xfrm>
          <a:off x="13624559" y="20626704"/>
          <a:ext cx="5969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97</xdr:row>
      <xdr:rowOff>119379</xdr:rowOff>
    </xdr:from>
    <xdr:to>
      <xdr:col>19</xdr:col>
      <xdr:colOff>63500</xdr:colOff>
      <xdr:row>97</xdr:row>
      <xdr:rowOff>182879</xdr:rowOff>
    </xdr:to>
    <xdr:sp macro="" textlink="">
      <xdr:nvSpPr>
        <xdr:cNvPr id="559" name="nuNumber: 573" hidden="1">
          <a:extLst>
            <a:ext uri="{FF2B5EF4-FFF2-40B4-BE49-F238E27FC236}">
              <a16:creationId xmlns:a16="http://schemas.microsoft.com/office/drawing/2014/main" id="{FA6AF387-452A-4F67-AE4C-5DB4B011297B}"/>
            </a:ext>
          </a:extLst>
        </xdr:cNvPr>
        <xdr:cNvSpPr/>
      </xdr:nvSpPr>
      <xdr:spPr bwMode="auto">
        <a:xfrm>
          <a:off x="14382750" y="206267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97</xdr:row>
      <xdr:rowOff>119379</xdr:rowOff>
    </xdr:from>
    <xdr:to>
      <xdr:col>20</xdr:col>
      <xdr:colOff>63500</xdr:colOff>
      <xdr:row>97</xdr:row>
      <xdr:rowOff>182879</xdr:rowOff>
    </xdr:to>
    <xdr:sp macro="" textlink="">
      <xdr:nvSpPr>
        <xdr:cNvPr id="560" name="nuNumber: 574" hidden="1">
          <a:extLst>
            <a:ext uri="{FF2B5EF4-FFF2-40B4-BE49-F238E27FC236}">
              <a16:creationId xmlns:a16="http://schemas.microsoft.com/office/drawing/2014/main" id="{A3F09C3E-E436-456D-B298-96E08A4DB1DD}"/>
            </a:ext>
          </a:extLst>
        </xdr:cNvPr>
        <xdr:cNvSpPr/>
      </xdr:nvSpPr>
      <xdr:spPr bwMode="auto">
        <a:xfrm>
          <a:off x="15135225" y="206267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97</xdr:row>
      <xdr:rowOff>119379</xdr:rowOff>
    </xdr:from>
    <xdr:to>
      <xdr:col>21</xdr:col>
      <xdr:colOff>63500</xdr:colOff>
      <xdr:row>97</xdr:row>
      <xdr:rowOff>182879</xdr:rowOff>
    </xdr:to>
    <xdr:sp macro="" textlink="">
      <xdr:nvSpPr>
        <xdr:cNvPr id="561" name="nuNumber: 575" hidden="1">
          <a:extLst>
            <a:ext uri="{FF2B5EF4-FFF2-40B4-BE49-F238E27FC236}">
              <a16:creationId xmlns:a16="http://schemas.microsoft.com/office/drawing/2014/main" id="{7A91D88B-512D-405B-AC0E-F73671687E70}"/>
            </a:ext>
          </a:extLst>
        </xdr:cNvPr>
        <xdr:cNvSpPr/>
      </xdr:nvSpPr>
      <xdr:spPr bwMode="auto">
        <a:xfrm>
          <a:off x="15849600" y="206267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98</xdr:row>
      <xdr:rowOff>119380</xdr:rowOff>
    </xdr:from>
    <xdr:to>
      <xdr:col>8</xdr:col>
      <xdr:colOff>63500</xdr:colOff>
      <xdr:row>99</xdr:row>
      <xdr:rowOff>0</xdr:rowOff>
    </xdr:to>
    <xdr:sp macro="" textlink="">
      <xdr:nvSpPr>
        <xdr:cNvPr id="562" name="nuNumber: 576" hidden="1">
          <a:extLst>
            <a:ext uri="{FF2B5EF4-FFF2-40B4-BE49-F238E27FC236}">
              <a16:creationId xmlns:a16="http://schemas.microsoft.com/office/drawing/2014/main" id="{A6DA085D-B14C-4B45-834D-127E91DA26E4}"/>
            </a:ext>
          </a:extLst>
        </xdr:cNvPr>
        <xdr:cNvSpPr/>
      </xdr:nvSpPr>
      <xdr:spPr bwMode="auto">
        <a:xfrm>
          <a:off x="5562600" y="208362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99</xdr:row>
      <xdr:rowOff>119380</xdr:rowOff>
    </xdr:from>
    <xdr:to>
      <xdr:col>8</xdr:col>
      <xdr:colOff>63500</xdr:colOff>
      <xdr:row>100</xdr:row>
      <xdr:rowOff>0</xdr:rowOff>
    </xdr:to>
    <xdr:sp macro="" textlink="">
      <xdr:nvSpPr>
        <xdr:cNvPr id="563" name="nuNumber: 577" hidden="1">
          <a:extLst>
            <a:ext uri="{FF2B5EF4-FFF2-40B4-BE49-F238E27FC236}">
              <a16:creationId xmlns:a16="http://schemas.microsoft.com/office/drawing/2014/main" id="{6C5E542E-3B60-493F-83C8-5633F92886FC}"/>
            </a:ext>
          </a:extLst>
        </xdr:cNvPr>
        <xdr:cNvSpPr/>
      </xdr:nvSpPr>
      <xdr:spPr bwMode="auto">
        <a:xfrm>
          <a:off x="5562600" y="210458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100</xdr:row>
      <xdr:rowOff>119380</xdr:rowOff>
    </xdr:from>
    <xdr:to>
      <xdr:col>8</xdr:col>
      <xdr:colOff>63500</xdr:colOff>
      <xdr:row>101</xdr:row>
      <xdr:rowOff>0</xdr:rowOff>
    </xdr:to>
    <xdr:sp macro="" textlink="">
      <xdr:nvSpPr>
        <xdr:cNvPr id="564" name="nuNumber: 578" hidden="1">
          <a:extLst>
            <a:ext uri="{FF2B5EF4-FFF2-40B4-BE49-F238E27FC236}">
              <a16:creationId xmlns:a16="http://schemas.microsoft.com/office/drawing/2014/main" id="{F8E6DA8B-7C87-46A8-86D8-1E50243C37F4}"/>
            </a:ext>
          </a:extLst>
        </xdr:cNvPr>
        <xdr:cNvSpPr/>
      </xdr:nvSpPr>
      <xdr:spPr bwMode="auto">
        <a:xfrm>
          <a:off x="5562600" y="212553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101</xdr:row>
      <xdr:rowOff>119381</xdr:rowOff>
    </xdr:from>
    <xdr:to>
      <xdr:col>8</xdr:col>
      <xdr:colOff>63500</xdr:colOff>
      <xdr:row>102</xdr:row>
      <xdr:rowOff>1</xdr:rowOff>
    </xdr:to>
    <xdr:sp macro="" textlink="">
      <xdr:nvSpPr>
        <xdr:cNvPr id="565" name="nuNumber: 579" hidden="1">
          <a:extLst>
            <a:ext uri="{FF2B5EF4-FFF2-40B4-BE49-F238E27FC236}">
              <a16:creationId xmlns:a16="http://schemas.microsoft.com/office/drawing/2014/main" id="{6514C24C-A663-465B-AA06-0CC51659DADB}"/>
            </a:ext>
          </a:extLst>
        </xdr:cNvPr>
        <xdr:cNvSpPr/>
      </xdr:nvSpPr>
      <xdr:spPr bwMode="auto">
        <a:xfrm>
          <a:off x="5562600" y="214649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102</xdr:row>
      <xdr:rowOff>119379</xdr:rowOff>
    </xdr:from>
    <xdr:to>
      <xdr:col>8</xdr:col>
      <xdr:colOff>63500</xdr:colOff>
      <xdr:row>102</xdr:row>
      <xdr:rowOff>182879</xdr:rowOff>
    </xdr:to>
    <xdr:sp macro="" textlink="">
      <xdr:nvSpPr>
        <xdr:cNvPr id="566" name="nuNumber: 580" hidden="1">
          <a:extLst>
            <a:ext uri="{FF2B5EF4-FFF2-40B4-BE49-F238E27FC236}">
              <a16:creationId xmlns:a16="http://schemas.microsoft.com/office/drawing/2014/main" id="{A7AC420A-A1A0-46FC-AF2E-84E5104755E9}"/>
            </a:ext>
          </a:extLst>
        </xdr:cNvPr>
        <xdr:cNvSpPr/>
      </xdr:nvSpPr>
      <xdr:spPr bwMode="auto">
        <a:xfrm>
          <a:off x="5562600" y="216744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103</xdr:row>
      <xdr:rowOff>119380</xdr:rowOff>
    </xdr:from>
    <xdr:to>
      <xdr:col>8</xdr:col>
      <xdr:colOff>63500</xdr:colOff>
      <xdr:row>104</xdr:row>
      <xdr:rowOff>0</xdr:rowOff>
    </xdr:to>
    <xdr:sp macro="" textlink="">
      <xdr:nvSpPr>
        <xdr:cNvPr id="567" name="nuNumber: 581" hidden="1">
          <a:extLst>
            <a:ext uri="{FF2B5EF4-FFF2-40B4-BE49-F238E27FC236}">
              <a16:creationId xmlns:a16="http://schemas.microsoft.com/office/drawing/2014/main" id="{BD969F29-393D-4488-87AB-F3DAB97A9832}"/>
            </a:ext>
          </a:extLst>
        </xdr:cNvPr>
        <xdr:cNvSpPr/>
      </xdr:nvSpPr>
      <xdr:spPr bwMode="auto">
        <a:xfrm>
          <a:off x="5562600" y="218840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104</xdr:row>
      <xdr:rowOff>119380</xdr:rowOff>
    </xdr:from>
    <xdr:to>
      <xdr:col>8</xdr:col>
      <xdr:colOff>63500</xdr:colOff>
      <xdr:row>105</xdr:row>
      <xdr:rowOff>0</xdr:rowOff>
    </xdr:to>
    <xdr:sp macro="" textlink="">
      <xdr:nvSpPr>
        <xdr:cNvPr id="568" name="nuNumber: 582" hidden="1">
          <a:extLst>
            <a:ext uri="{FF2B5EF4-FFF2-40B4-BE49-F238E27FC236}">
              <a16:creationId xmlns:a16="http://schemas.microsoft.com/office/drawing/2014/main" id="{7203B1B4-2B96-4AB2-AF53-C28FE45B0B9F}"/>
            </a:ext>
          </a:extLst>
        </xdr:cNvPr>
        <xdr:cNvSpPr/>
      </xdr:nvSpPr>
      <xdr:spPr bwMode="auto">
        <a:xfrm>
          <a:off x="5562600" y="220935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105</xdr:row>
      <xdr:rowOff>119380</xdr:rowOff>
    </xdr:from>
    <xdr:to>
      <xdr:col>8</xdr:col>
      <xdr:colOff>63500</xdr:colOff>
      <xdr:row>106</xdr:row>
      <xdr:rowOff>0</xdr:rowOff>
    </xdr:to>
    <xdr:sp macro="" textlink="">
      <xdr:nvSpPr>
        <xdr:cNvPr id="569" name="nuNumber: 583" hidden="1">
          <a:extLst>
            <a:ext uri="{FF2B5EF4-FFF2-40B4-BE49-F238E27FC236}">
              <a16:creationId xmlns:a16="http://schemas.microsoft.com/office/drawing/2014/main" id="{20FD1A9D-9543-40AA-A7D0-4D442B1CAA20}"/>
            </a:ext>
          </a:extLst>
        </xdr:cNvPr>
        <xdr:cNvSpPr/>
      </xdr:nvSpPr>
      <xdr:spPr bwMode="auto">
        <a:xfrm>
          <a:off x="5562600" y="223031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106</xdr:row>
      <xdr:rowOff>119381</xdr:rowOff>
    </xdr:from>
    <xdr:to>
      <xdr:col>8</xdr:col>
      <xdr:colOff>63500</xdr:colOff>
      <xdr:row>107</xdr:row>
      <xdr:rowOff>1</xdr:rowOff>
    </xdr:to>
    <xdr:sp macro="" textlink="">
      <xdr:nvSpPr>
        <xdr:cNvPr id="570" name="nuNumber: 584" hidden="1">
          <a:extLst>
            <a:ext uri="{FF2B5EF4-FFF2-40B4-BE49-F238E27FC236}">
              <a16:creationId xmlns:a16="http://schemas.microsoft.com/office/drawing/2014/main" id="{220CE498-621A-4FFA-9DA2-63184F31CF86}"/>
            </a:ext>
          </a:extLst>
        </xdr:cNvPr>
        <xdr:cNvSpPr/>
      </xdr:nvSpPr>
      <xdr:spPr bwMode="auto">
        <a:xfrm>
          <a:off x="5562600" y="225126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111</xdr:row>
      <xdr:rowOff>119380</xdr:rowOff>
    </xdr:from>
    <xdr:to>
      <xdr:col>6</xdr:col>
      <xdr:colOff>63500</xdr:colOff>
      <xdr:row>112</xdr:row>
      <xdr:rowOff>0</xdr:rowOff>
    </xdr:to>
    <xdr:sp macro="" textlink="">
      <xdr:nvSpPr>
        <xdr:cNvPr id="571" name="nuNumber: 585" hidden="1">
          <a:extLst>
            <a:ext uri="{FF2B5EF4-FFF2-40B4-BE49-F238E27FC236}">
              <a16:creationId xmlns:a16="http://schemas.microsoft.com/office/drawing/2014/main" id="{75E97748-ED99-474B-99D2-994291214056}"/>
            </a:ext>
          </a:extLst>
        </xdr:cNvPr>
        <xdr:cNvSpPr/>
      </xdr:nvSpPr>
      <xdr:spPr bwMode="auto">
        <a:xfrm>
          <a:off x="3800475" y="23560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111</xdr:row>
      <xdr:rowOff>119380</xdr:rowOff>
    </xdr:from>
    <xdr:to>
      <xdr:col>7</xdr:col>
      <xdr:colOff>63500</xdr:colOff>
      <xdr:row>112</xdr:row>
      <xdr:rowOff>0</xdr:rowOff>
    </xdr:to>
    <xdr:sp macro="" textlink="">
      <xdr:nvSpPr>
        <xdr:cNvPr id="572" name="nuNumber: 586" hidden="1">
          <a:extLst>
            <a:ext uri="{FF2B5EF4-FFF2-40B4-BE49-F238E27FC236}">
              <a16:creationId xmlns:a16="http://schemas.microsoft.com/office/drawing/2014/main" id="{5FF9E7F5-B6A4-46BC-BA07-5BBA7DE63F5A}"/>
            </a:ext>
          </a:extLst>
        </xdr:cNvPr>
        <xdr:cNvSpPr/>
      </xdr:nvSpPr>
      <xdr:spPr bwMode="auto">
        <a:xfrm>
          <a:off x="4676775" y="23560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111</xdr:row>
      <xdr:rowOff>119380</xdr:rowOff>
    </xdr:from>
    <xdr:to>
      <xdr:col>8</xdr:col>
      <xdr:colOff>63500</xdr:colOff>
      <xdr:row>112</xdr:row>
      <xdr:rowOff>0</xdr:rowOff>
    </xdr:to>
    <xdr:sp macro="" textlink="">
      <xdr:nvSpPr>
        <xdr:cNvPr id="573" name="nuNumber: 587" hidden="1">
          <a:extLst>
            <a:ext uri="{FF2B5EF4-FFF2-40B4-BE49-F238E27FC236}">
              <a16:creationId xmlns:a16="http://schemas.microsoft.com/office/drawing/2014/main" id="{6CC8858F-A4AB-40C6-9FB1-4F3A0F6D6A99}"/>
            </a:ext>
          </a:extLst>
        </xdr:cNvPr>
        <xdr:cNvSpPr/>
      </xdr:nvSpPr>
      <xdr:spPr bwMode="auto">
        <a:xfrm>
          <a:off x="5562600" y="23560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111</xdr:row>
      <xdr:rowOff>119380</xdr:rowOff>
    </xdr:from>
    <xdr:to>
      <xdr:col>9</xdr:col>
      <xdr:colOff>63500</xdr:colOff>
      <xdr:row>112</xdr:row>
      <xdr:rowOff>0</xdr:rowOff>
    </xdr:to>
    <xdr:sp macro="" textlink="">
      <xdr:nvSpPr>
        <xdr:cNvPr id="574" name="nuNumber: 588" hidden="1">
          <a:extLst>
            <a:ext uri="{FF2B5EF4-FFF2-40B4-BE49-F238E27FC236}">
              <a16:creationId xmlns:a16="http://schemas.microsoft.com/office/drawing/2014/main" id="{12A22154-3C30-498D-8F43-3282653FEA7A}"/>
            </a:ext>
          </a:extLst>
        </xdr:cNvPr>
        <xdr:cNvSpPr/>
      </xdr:nvSpPr>
      <xdr:spPr bwMode="auto">
        <a:xfrm>
          <a:off x="6467475" y="23560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111</xdr:row>
      <xdr:rowOff>119380</xdr:rowOff>
    </xdr:from>
    <xdr:to>
      <xdr:col>9</xdr:col>
      <xdr:colOff>63500</xdr:colOff>
      <xdr:row>112</xdr:row>
      <xdr:rowOff>0</xdr:rowOff>
    </xdr:to>
    <xdr:sp macro="" textlink="">
      <xdr:nvSpPr>
        <xdr:cNvPr id="575" name="nuNumber: 589" hidden="1">
          <a:extLst>
            <a:ext uri="{FF2B5EF4-FFF2-40B4-BE49-F238E27FC236}">
              <a16:creationId xmlns:a16="http://schemas.microsoft.com/office/drawing/2014/main" id="{E66A7CE0-17E7-4BEF-9613-B380BE71974B}"/>
            </a:ext>
          </a:extLst>
        </xdr:cNvPr>
        <xdr:cNvSpPr/>
      </xdr:nvSpPr>
      <xdr:spPr bwMode="auto">
        <a:xfrm>
          <a:off x="6467475" y="23560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111</xdr:row>
      <xdr:rowOff>119380</xdr:rowOff>
    </xdr:from>
    <xdr:to>
      <xdr:col>10</xdr:col>
      <xdr:colOff>63500</xdr:colOff>
      <xdr:row>112</xdr:row>
      <xdr:rowOff>0</xdr:rowOff>
    </xdr:to>
    <xdr:sp macro="" textlink="">
      <xdr:nvSpPr>
        <xdr:cNvPr id="576" name="nuNumber: 590" hidden="1">
          <a:extLst>
            <a:ext uri="{FF2B5EF4-FFF2-40B4-BE49-F238E27FC236}">
              <a16:creationId xmlns:a16="http://schemas.microsoft.com/office/drawing/2014/main" id="{73E46B65-74EF-4096-9269-DB0809C18107}"/>
            </a:ext>
          </a:extLst>
        </xdr:cNvPr>
        <xdr:cNvSpPr/>
      </xdr:nvSpPr>
      <xdr:spPr bwMode="auto">
        <a:xfrm>
          <a:off x="7315200" y="23560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111</xdr:row>
      <xdr:rowOff>119380</xdr:rowOff>
    </xdr:from>
    <xdr:to>
      <xdr:col>11</xdr:col>
      <xdr:colOff>63500</xdr:colOff>
      <xdr:row>112</xdr:row>
      <xdr:rowOff>0</xdr:rowOff>
    </xdr:to>
    <xdr:sp macro="" textlink="">
      <xdr:nvSpPr>
        <xdr:cNvPr id="577" name="nuNumber: 591" hidden="1">
          <a:extLst>
            <a:ext uri="{FF2B5EF4-FFF2-40B4-BE49-F238E27FC236}">
              <a16:creationId xmlns:a16="http://schemas.microsoft.com/office/drawing/2014/main" id="{FE0BE637-2890-4C21-83E3-5807984A6728}"/>
            </a:ext>
          </a:extLst>
        </xdr:cNvPr>
        <xdr:cNvSpPr/>
      </xdr:nvSpPr>
      <xdr:spPr bwMode="auto">
        <a:xfrm>
          <a:off x="8105775" y="23560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111</xdr:row>
      <xdr:rowOff>119380</xdr:rowOff>
    </xdr:from>
    <xdr:to>
      <xdr:col>12</xdr:col>
      <xdr:colOff>63500</xdr:colOff>
      <xdr:row>112</xdr:row>
      <xdr:rowOff>0</xdr:rowOff>
    </xdr:to>
    <xdr:sp macro="" textlink="">
      <xdr:nvSpPr>
        <xdr:cNvPr id="578" name="nuNumber: 592" hidden="1">
          <a:extLst>
            <a:ext uri="{FF2B5EF4-FFF2-40B4-BE49-F238E27FC236}">
              <a16:creationId xmlns:a16="http://schemas.microsoft.com/office/drawing/2014/main" id="{82AA1567-8389-4615-A018-65537A47ECE8}"/>
            </a:ext>
          </a:extLst>
        </xdr:cNvPr>
        <xdr:cNvSpPr/>
      </xdr:nvSpPr>
      <xdr:spPr bwMode="auto">
        <a:xfrm>
          <a:off x="8972550" y="23560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111</xdr:row>
      <xdr:rowOff>119380</xdr:rowOff>
    </xdr:from>
    <xdr:to>
      <xdr:col>13</xdr:col>
      <xdr:colOff>63500</xdr:colOff>
      <xdr:row>112</xdr:row>
      <xdr:rowOff>0</xdr:rowOff>
    </xdr:to>
    <xdr:sp macro="" textlink="">
      <xdr:nvSpPr>
        <xdr:cNvPr id="579" name="nuNumber: 593" hidden="1">
          <a:extLst>
            <a:ext uri="{FF2B5EF4-FFF2-40B4-BE49-F238E27FC236}">
              <a16:creationId xmlns:a16="http://schemas.microsoft.com/office/drawing/2014/main" id="{7C2AD244-5625-460D-8995-8D5C5E61ECC2}"/>
            </a:ext>
          </a:extLst>
        </xdr:cNvPr>
        <xdr:cNvSpPr/>
      </xdr:nvSpPr>
      <xdr:spPr bwMode="auto">
        <a:xfrm>
          <a:off x="9753600" y="23560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111</xdr:row>
      <xdr:rowOff>119380</xdr:rowOff>
    </xdr:from>
    <xdr:to>
      <xdr:col>14</xdr:col>
      <xdr:colOff>63500</xdr:colOff>
      <xdr:row>112</xdr:row>
      <xdr:rowOff>0</xdr:rowOff>
    </xdr:to>
    <xdr:sp macro="" textlink="">
      <xdr:nvSpPr>
        <xdr:cNvPr id="580" name="nuNumber: 594" hidden="1">
          <a:extLst>
            <a:ext uri="{FF2B5EF4-FFF2-40B4-BE49-F238E27FC236}">
              <a16:creationId xmlns:a16="http://schemas.microsoft.com/office/drawing/2014/main" id="{A1E42600-8242-4A25-8E87-A1A040A5B76C}"/>
            </a:ext>
          </a:extLst>
        </xdr:cNvPr>
        <xdr:cNvSpPr/>
      </xdr:nvSpPr>
      <xdr:spPr bwMode="auto">
        <a:xfrm>
          <a:off x="10515600" y="23560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111</xdr:row>
      <xdr:rowOff>119380</xdr:rowOff>
    </xdr:from>
    <xdr:to>
      <xdr:col>15</xdr:col>
      <xdr:colOff>63500</xdr:colOff>
      <xdr:row>112</xdr:row>
      <xdr:rowOff>0</xdr:rowOff>
    </xdr:to>
    <xdr:sp macro="" textlink="">
      <xdr:nvSpPr>
        <xdr:cNvPr id="581" name="nuNumber: 595" hidden="1">
          <a:extLst>
            <a:ext uri="{FF2B5EF4-FFF2-40B4-BE49-F238E27FC236}">
              <a16:creationId xmlns:a16="http://schemas.microsoft.com/office/drawing/2014/main" id="{FB03B131-78B6-4C40-A51D-1DC20A399F2D}"/>
            </a:ext>
          </a:extLst>
        </xdr:cNvPr>
        <xdr:cNvSpPr/>
      </xdr:nvSpPr>
      <xdr:spPr bwMode="auto">
        <a:xfrm>
          <a:off x="11325225" y="23560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111</xdr:row>
      <xdr:rowOff>119380</xdr:rowOff>
    </xdr:from>
    <xdr:to>
      <xdr:col>16</xdr:col>
      <xdr:colOff>63500</xdr:colOff>
      <xdr:row>112</xdr:row>
      <xdr:rowOff>0</xdr:rowOff>
    </xdr:to>
    <xdr:sp macro="" textlink="">
      <xdr:nvSpPr>
        <xdr:cNvPr id="582" name="nuNumber: 596" hidden="1">
          <a:extLst>
            <a:ext uri="{FF2B5EF4-FFF2-40B4-BE49-F238E27FC236}">
              <a16:creationId xmlns:a16="http://schemas.microsoft.com/office/drawing/2014/main" id="{658F8A14-3CD1-4BA9-B6EC-2567EA9ADF6D}"/>
            </a:ext>
          </a:extLst>
        </xdr:cNvPr>
        <xdr:cNvSpPr/>
      </xdr:nvSpPr>
      <xdr:spPr bwMode="auto">
        <a:xfrm>
          <a:off x="12106275" y="23560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111</xdr:row>
      <xdr:rowOff>119380</xdr:rowOff>
    </xdr:from>
    <xdr:to>
      <xdr:col>17</xdr:col>
      <xdr:colOff>63500</xdr:colOff>
      <xdr:row>112</xdr:row>
      <xdr:rowOff>0</xdr:rowOff>
    </xdr:to>
    <xdr:sp macro="" textlink="">
      <xdr:nvSpPr>
        <xdr:cNvPr id="583" name="nuNumber: 597" hidden="1">
          <a:extLst>
            <a:ext uri="{FF2B5EF4-FFF2-40B4-BE49-F238E27FC236}">
              <a16:creationId xmlns:a16="http://schemas.microsoft.com/office/drawing/2014/main" id="{57545351-F2A2-460D-B4DE-A8A16BF8BCDC}"/>
            </a:ext>
          </a:extLst>
        </xdr:cNvPr>
        <xdr:cNvSpPr/>
      </xdr:nvSpPr>
      <xdr:spPr bwMode="auto">
        <a:xfrm>
          <a:off x="12887325" y="23560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111</xdr:row>
      <xdr:rowOff>119380</xdr:rowOff>
    </xdr:from>
    <xdr:to>
      <xdr:col>18</xdr:col>
      <xdr:colOff>63499</xdr:colOff>
      <xdr:row>112</xdr:row>
      <xdr:rowOff>0</xdr:rowOff>
    </xdr:to>
    <xdr:sp macro="" textlink="">
      <xdr:nvSpPr>
        <xdr:cNvPr id="584" name="nuNumber: 598" hidden="1">
          <a:extLst>
            <a:ext uri="{FF2B5EF4-FFF2-40B4-BE49-F238E27FC236}">
              <a16:creationId xmlns:a16="http://schemas.microsoft.com/office/drawing/2014/main" id="{49AB8EA8-366B-42AC-92C0-59BB8C5D4E4A}"/>
            </a:ext>
          </a:extLst>
        </xdr:cNvPr>
        <xdr:cNvSpPr/>
      </xdr:nvSpPr>
      <xdr:spPr bwMode="auto">
        <a:xfrm>
          <a:off x="13624559" y="23560405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111</xdr:row>
      <xdr:rowOff>119380</xdr:rowOff>
    </xdr:from>
    <xdr:to>
      <xdr:col>19</xdr:col>
      <xdr:colOff>63500</xdr:colOff>
      <xdr:row>112</xdr:row>
      <xdr:rowOff>0</xdr:rowOff>
    </xdr:to>
    <xdr:sp macro="" textlink="">
      <xdr:nvSpPr>
        <xdr:cNvPr id="585" name="nuNumber: 599" hidden="1">
          <a:extLst>
            <a:ext uri="{FF2B5EF4-FFF2-40B4-BE49-F238E27FC236}">
              <a16:creationId xmlns:a16="http://schemas.microsoft.com/office/drawing/2014/main" id="{3A08D243-A8E0-49A8-8186-44B6CECB1D1F}"/>
            </a:ext>
          </a:extLst>
        </xdr:cNvPr>
        <xdr:cNvSpPr/>
      </xdr:nvSpPr>
      <xdr:spPr bwMode="auto">
        <a:xfrm>
          <a:off x="14382750" y="23560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112</xdr:row>
      <xdr:rowOff>119381</xdr:rowOff>
    </xdr:from>
    <xdr:to>
      <xdr:col>7</xdr:col>
      <xdr:colOff>63500</xdr:colOff>
      <xdr:row>113</xdr:row>
      <xdr:rowOff>1</xdr:rowOff>
    </xdr:to>
    <xdr:sp macro="" textlink="">
      <xdr:nvSpPr>
        <xdr:cNvPr id="586" name="nuNumber: 600" hidden="1">
          <a:extLst>
            <a:ext uri="{FF2B5EF4-FFF2-40B4-BE49-F238E27FC236}">
              <a16:creationId xmlns:a16="http://schemas.microsoft.com/office/drawing/2014/main" id="{86B3E0E8-A174-46EA-9BEC-D77A9F80AC81}"/>
            </a:ext>
          </a:extLst>
        </xdr:cNvPr>
        <xdr:cNvSpPr/>
      </xdr:nvSpPr>
      <xdr:spPr bwMode="auto">
        <a:xfrm>
          <a:off x="4676775" y="23769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112</xdr:row>
      <xdr:rowOff>119381</xdr:rowOff>
    </xdr:from>
    <xdr:to>
      <xdr:col>8</xdr:col>
      <xdr:colOff>63500</xdr:colOff>
      <xdr:row>113</xdr:row>
      <xdr:rowOff>1</xdr:rowOff>
    </xdr:to>
    <xdr:sp macro="" textlink="">
      <xdr:nvSpPr>
        <xdr:cNvPr id="587" name="nuNumber: 601" hidden="1">
          <a:extLst>
            <a:ext uri="{FF2B5EF4-FFF2-40B4-BE49-F238E27FC236}">
              <a16:creationId xmlns:a16="http://schemas.microsoft.com/office/drawing/2014/main" id="{D14771F1-3919-464E-92D4-5E11B1682BEC}"/>
            </a:ext>
          </a:extLst>
        </xdr:cNvPr>
        <xdr:cNvSpPr/>
      </xdr:nvSpPr>
      <xdr:spPr bwMode="auto">
        <a:xfrm>
          <a:off x="5562600" y="23769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112</xdr:row>
      <xdr:rowOff>119381</xdr:rowOff>
    </xdr:from>
    <xdr:to>
      <xdr:col>9</xdr:col>
      <xdr:colOff>63500</xdr:colOff>
      <xdr:row>113</xdr:row>
      <xdr:rowOff>1</xdr:rowOff>
    </xdr:to>
    <xdr:sp macro="" textlink="">
      <xdr:nvSpPr>
        <xdr:cNvPr id="588" name="nuNumber: 602" hidden="1">
          <a:extLst>
            <a:ext uri="{FF2B5EF4-FFF2-40B4-BE49-F238E27FC236}">
              <a16:creationId xmlns:a16="http://schemas.microsoft.com/office/drawing/2014/main" id="{0CBC84C2-BAE7-4A4D-AAED-4C30E0DA4831}"/>
            </a:ext>
          </a:extLst>
        </xdr:cNvPr>
        <xdr:cNvSpPr/>
      </xdr:nvSpPr>
      <xdr:spPr bwMode="auto">
        <a:xfrm>
          <a:off x="6467475" y="23769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112</xdr:row>
      <xdr:rowOff>119381</xdr:rowOff>
    </xdr:from>
    <xdr:to>
      <xdr:col>11</xdr:col>
      <xdr:colOff>63500</xdr:colOff>
      <xdr:row>113</xdr:row>
      <xdr:rowOff>1</xdr:rowOff>
    </xdr:to>
    <xdr:sp macro="" textlink="">
      <xdr:nvSpPr>
        <xdr:cNvPr id="589" name="nuNumber: 603" hidden="1">
          <a:extLst>
            <a:ext uri="{FF2B5EF4-FFF2-40B4-BE49-F238E27FC236}">
              <a16:creationId xmlns:a16="http://schemas.microsoft.com/office/drawing/2014/main" id="{F15B9DF4-BD9E-4396-9DD9-53B43B865CDA}"/>
            </a:ext>
          </a:extLst>
        </xdr:cNvPr>
        <xdr:cNvSpPr/>
      </xdr:nvSpPr>
      <xdr:spPr bwMode="auto">
        <a:xfrm>
          <a:off x="8105775" y="23769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112</xdr:row>
      <xdr:rowOff>119381</xdr:rowOff>
    </xdr:from>
    <xdr:to>
      <xdr:col>12</xdr:col>
      <xdr:colOff>63500</xdr:colOff>
      <xdr:row>113</xdr:row>
      <xdr:rowOff>1</xdr:rowOff>
    </xdr:to>
    <xdr:sp macro="" textlink="">
      <xdr:nvSpPr>
        <xdr:cNvPr id="590" name="nuNumber: 604" hidden="1">
          <a:extLst>
            <a:ext uri="{FF2B5EF4-FFF2-40B4-BE49-F238E27FC236}">
              <a16:creationId xmlns:a16="http://schemas.microsoft.com/office/drawing/2014/main" id="{1795509A-EA70-4448-BCF1-F7881D9E9004}"/>
            </a:ext>
          </a:extLst>
        </xdr:cNvPr>
        <xdr:cNvSpPr/>
      </xdr:nvSpPr>
      <xdr:spPr bwMode="auto">
        <a:xfrm>
          <a:off x="8972550" y="23769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112</xdr:row>
      <xdr:rowOff>119381</xdr:rowOff>
    </xdr:from>
    <xdr:to>
      <xdr:col>13</xdr:col>
      <xdr:colOff>63500</xdr:colOff>
      <xdr:row>113</xdr:row>
      <xdr:rowOff>1</xdr:rowOff>
    </xdr:to>
    <xdr:sp macro="" textlink="">
      <xdr:nvSpPr>
        <xdr:cNvPr id="591" name="nuNumber: 605" hidden="1">
          <a:extLst>
            <a:ext uri="{FF2B5EF4-FFF2-40B4-BE49-F238E27FC236}">
              <a16:creationId xmlns:a16="http://schemas.microsoft.com/office/drawing/2014/main" id="{353AD854-614A-465B-8E76-907C494B8F32}"/>
            </a:ext>
          </a:extLst>
        </xdr:cNvPr>
        <xdr:cNvSpPr/>
      </xdr:nvSpPr>
      <xdr:spPr bwMode="auto">
        <a:xfrm>
          <a:off x="9753600" y="23769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112</xdr:row>
      <xdr:rowOff>119381</xdr:rowOff>
    </xdr:from>
    <xdr:to>
      <xdr:col>14</xdr:col>
      <xdr:colOff>63500</xdr:colOff>
      <xdr:row>113</xdr:row>
      <xdr:rowOff>1</xdr:rowOff>
    </xdr:to>
    <xdr:sp macro="" textlink="">
      <xdr:nvSpPr>
        <xdr:cNvPr id="592" name="nuNumber: 606" hidden="1">
          <a:extLst>
            <a:ext uri="{FF2B5EF4-FFF2-40B4-BE49-F238E27FC236}">
              <a16:creationId xmlns:a16="http://schemas.microsoft.com/office/drawing/2014/main" id="{BCCC3A6B-D718-4CFF-9E10-0C0E6BCD73FF}"/>
            </a:ext>
          </a:extLst>
        </xdr:cNvPr>
        <xdr:cNvSpPr/>
      </xdr:nvSpPr>
      <xdr:spPr bwMode="auto">
        <a:xfrm>
          <a:off x="10515600" y="23769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112</xdr:row>
      <xdr:rowOff>119381</xdr:rowOff>
    </xdr:from>
    <xdr:to>
      <xdr:col>15</xdr:col>
      <xdr:colOff>63500</xdr:colOff>
      <xdr:row>113</xdr:row>
      <xdr:rowOff>1</xdr:rowOff>
    </xdr:to>
    <xdr:sp macro="" textlink="">
      <xdr:nvSpPr>
        <xdr:cNvPr id="593" name="nuNumber: 607" hidden="1">
          <a:extLst>
            <a:ext uri="{FF2B5EF4-FFF2-40B4-BE49-F238E27FC236}">
              <a16:creationId xmlns:a16="http://schemas.microsoft.com/office/drawing/2014/main" id="{D2B25994-D72C-4AE4-8744-3F375F5851EF}"/>
            </a:ext>
          </a:extLst>
        </xdr:cNvPr>
        <xdr:cNvSpPr/>
      </xdr:nvSpPr>
      <xdr:spPr bwMode="auto">
        <a:xfrm>
          <a:off x="11325225" y="23769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112</xdr:row>
      <xdr:rowOff>119381</xdr:rowOff>
    </xdr:from>
    <xdr:to>
      <xdr:col>16</xdr:col>
      <xdr:colOff>63500</xdr:colOff>
      <xdr:row>113</xdr:row>
      <xdr:rowOff>1</xdr:rowOff>
    </xdr:to>
    <xdr:sp macro="" textlink="">
      <xdr:nvSpPr>
        <xdr:cNvPr id="594" name="nuNumber: 608" hidden="1">
          <a:extLst>
            <a:ext uri="{FF2B5EF4-FFF2-40B4-BE49-F238E27FC236}">
              <a16:creationId xmlns:a16="http://schemas.microsoft.com/office/drawing/2014/main" id="{8AFD04CA-4EF9-4652-A889-E4C4E083B7A7}"/>
            </a:ext>
          </a:extLst>
        </xdr:cNvPr>
        <xdr:cNvSpPr/>
      </xdr:nvSpPr>
      <xdr:spPr bwMode="auto">
        <a:xfrm>
          <a:off x="12106275" y="23769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112</xdr:row>
      <xdr:rowOff>119381</xdr:rowOff>
    </xdr:from>
    <xdr:to>
      <xdr:col>17</xdr:col>
      <xdr:colOff>63500</xdr:colOff>
      <xdr:row>113</xdr:row>
      <xdr:rowOff>1</xdr:rowOff>
    </xdr:to>
    <xdr:sp macro="" textlink="">
      <xdr:nvSpPr>
        <xdr:cNvPr id="595" name="nuNumber: 609" hidden="1">
          <a:extLst>
            <a:ext uri="{FF2B5EF4-FFF2-40B4-BE49-F238E27FC236}">
              <a16:creationId xmlns:a16="http://schemas.microsoft.com/office/drawing/2014/main" id="{97E5799E-3885-431C-9EFA-41C2118BAD32}"/>
            </a:ext>
          </a:extLst>
        </xdr:cNvPr>
        <xdr:cNvSpPr/>
      </xdr:nvSpPr>
      <xdr:spPr bwMode="auto">
        <a:xfrm>
          <a:off x="12887325" y="23769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112</xdr:row>
      <xdr:rowOff>119381</xdr:rowOff>
    </xdr:from>
    <xdr:to>
      <xdr:col>18</xdr:col>
      <xdr:colOff>63499</xdr:colOff>
      <xdr:row>113</xdr:row>
      <xdr:rowOff>1</xdr:rowOff>
    </xdr:to>
    <xdr:sp macro="" textlink="">
      <xdr:nvSpPr>
        <xdr:cNvPr id="596" name="nuNumber: 610" hidden="1">
          <a:extLst>
            <a:ext uri="{FF2B5EF4-FFF2-40B4-BE49-F238E27FC236}">
              <a16:creationId xmlns:a16="http://schemas.microsoft.com/office/drawing/2014/main" id="{2EC1249D-AEF6-4076-A897-050CD577E210}"/>
            </a:ext>
          </a:extLst>
        </xdr:cNvPr>
        <xdr:cNvSpPr/>
      </xdr:nvSpPr>
      <xdr:spPr bwMode="auto">
        <a:xfrm>
          <a:off x="13624559" y="23769956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112</xdr:row>
      <xdr:rowOff>119381</xdr:rowOff>
    </xdr:from>
    <xdr:to>
      <xdr:col>19</xdr:col>
      <xdr:colOff>63500</xdr:colOff>
      <xdr:row>113</xdr:row>
      <xdr:rowOff>1</xdr:rowOff>
    </xdr:to>
    <xdr:sp macro="" textlink="">
      <xdr:nvSpPr>
        <xdr:cNvPr id="597" name="nuNumber: 611" hidden="1">
          <a:extLst>
            <a:ext uri="{FF2B5EF4-FFF2-40B4-BE49-F238E27FC236}">
              <a16:creationId xmlns:a16="http://schemas.microsoft.com/office/drawing/2014/main" id="{D3A3E3E1-9244-483C-877B-5B2852D07511}"/>
            </a:ext>
          </a:extLst>
        </xdr:cNvPr>
        <xdr:cNvSpPr/>
      </xdr:nvSpPr>
      <xdr:spPr bwMode="auto">
        <a:xfrm>
          <a:off x="14382750" y="23769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112</xdr:row>
      <xdr:rowOff>119381</xdr:rowOff>
    </xdr:from>
    <xdr:to>
      <xdr:col>20</xdr:col>
      <xdr:colOff>63500</xdr:colOff>
      <xdr:row>113</xdr:row>
      <xdr:rowOff>1</xdr:rowOff>
    </xdr:to>
    <xdr:sp macro="" textlink="">
      <xdr:nvSpPr>
        <xdr:cNvPr id="598" name="nuNumber: 612" hidden="1">
          <a:extLst>
            <a:ext uri="{FF2B5EF4-FFF2-40B4-BE49-F238E27FC236}">
              <a16:creationId xmlns:a16="http://schemas.microsoft.com/office/drawing/2014/main" id="{BF09C83B-DAC2-41AC-A048-DC242DEB2D16}"/>
            </a:ext>
          </a:extLst>
        </xdr:cNvPr>
        <xdr:cNvSpPr/>
      </xdr:nvSpPr>
      <xdr:spPr bwMode="auto">
        <a:xfrm>
          <a:off x="15135225" y="23769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112</xdr:row>
      <xdr:rowOff>119381</xdr:rowOff>
    </xdr:from>
    <xdr:to>
      <xdr:col>21</xdr:col>
      <xdr:colOff>63500</xdr:colOff>
      <xdr:row>113</xdr:row>
      <xdr:rowOff>1</xdr:rowOff>
    </xdr:to>
    <xdr:sp macro="" textlink="">
      <xdr:nvSpPr>
        <xdr:cNvPr id="599" name="nuNumber: 613" hidden="1">
          <a:extLst>
            <a:ext uri="{FF2B5EF4-FFF2-40B4-BE49-F238E27FC236}">
              <a16:creationId xmlns:a16="http://schemas.microsoft.com/office/drawing/2014/main" id="{059D66BB-AC98-4850-AA79-EAECB07F88EC}"/>
            </a:ext>
          </a:extLst>
        </xdr:cNvPr>
        <xdr:cNvSpPr/>
      </xdr:nvSpPr>
      <xdr:spPr bwMode="auto">
        <a:xfrm>
          <a:off x="15849600" y="23769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132</xdr:row>
      <xdr:rowOff>119380</xdr:rowOff>
    </xdr:from>
    <xdr:to>
      <xdr:col>8</xdr:col>
      <xdr:colOff>63500</xdr:colOff>
      <xdr:row>133</xdr:row>
      <xdr:rowOff>0</xdr:rowOff>
    </xdr:to>
    <xdr:sp macro="" textlink="">
      <xdr:nvSpPr>
        <xdr:cNvPr id="600" name="nuNumber: 614" hidden="1">
          <a:extLst>
            <a:ext uri="{FF2B5EF4-FFF2-40B4-BE49-F238E27FC236}">
              <a16:creationId xmlns:a16="http://schemas.microsoft.com/office/drawing/2014/main" id="{4BFDC106-EAED-4A3B-B38C-89FB9F529FAE}"/>
            </a:ext>
          </a:extLst>
        </xdr:cNvPr>
        <xdr:cNvSpPr/>
      </xdr:nvSpPr>
      <xdr:spPr bwMode="auto">
        <a:xfrm>
          <a:off x="5562600" y="279800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132</xdr:row>
      <xdr:rowOff>119380</xdr:rowOff>
    </xdr:from>
    <xdr:to>
      <xdr:col>9</xdr:col>
      <xdr:colOff>63500</xdr:colOff>
      <xdr:row>133</xdr:row>
      <xdr:rowOff>0</xdr:rowOff>
    </xdr:to>
    <xdr:sp macro="" textlink="">
      <xdr:nvSpPr>
        <xdr:cNvPr id="601" name="nuNumber: 615" hidden="1">
          <a:extLst>
            <a:ext uri="{FF2B5EF4-FFF2-40B4-BE49-F238E27FC236}">
              <a16:creationId xmlns:a16="http://schemas.microsoft.com/office/drawing/2014/main" id="{2AA617B9-5394-4AA5-92C4-C7982116F662}"/>
            </a:ext>
          </a:extLst>
        </xdr:cNvPr>
        <xdr:cNvSpPr/>
      </xdr:nvSpPr>
      <xdr:spPr bwMode="auto">
        <a:xfrm>
          <a:off x="6467475" y="279800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132</xdr:row>
      <xdr:rowOff>119380</xdr:rowOff>
    </xdr:from>
    <xdr:to>
      <xdr:col>9</xdr:col>
      <xdr:colOff>63500</xdr:colOff>
      <xdr:row>133</xdr:row>
      <xdr:rowOff>0</xdr:rowOff>
    </xdr:to>
    <xdr:sp macro="" textlink="">
      <xdr:nvSpPr>
        <xdr:cNvPr id="602" name="nuNumber: 616" hidden="1">
          <a:extLst>
            <a:ext uri="{FF2B5EF4-FFF2-40B4-BE49-F238E27FC236}">
              <a16:creationId xmlns:a16="http://schemas.microsoft.com/office/drawing/2014/main" id="{6A9D24EF-3ED1-463C-BE0A-39613BBB5D0B}"/>
            </a:ext>
          </a:extLst>
        </xdr:cNvPr>
        <xdr:cNvSpPr/>
      </xdr:nvSpPr>
      <xdr:spPr bwMode="auto">
        <a:xfrm>
          <a:off x="6467475" y="279800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132</xdr:row>
      <xdr:rowOff>119380</xdr:rowOff>
    </xdr:from>
    <xdr:to>
      <xdr:col>10</xdr:col>
      <xdr:colOff>63500</xdr:colOff>
      <xdr:row>133</xdr:row>
      <xdr:rowOff>0</xdr:rowOff>
    </xdr:to>
    <xdr:sp macro="" textlink="">
      <xdr:nvSpPr>
        <xdr:cNvPr id="603" name="nuNumber: 617" hidden="1">
          <a:extLst>
            <a:ext uri="{FF2B5EF4-FFF2-40B4-BE49-F238E27FC236}">
              <a16:creationId xmlns:a16="http://schemas.microsoft.com/office/drawing/2014/main" id="{37C67D31-4623-4A8D-9DED-40DB54CAE581}"/>
            </a:ext>
          </a:extLst>
        </xdr:cNvPr>
        <xdr:cNvSpPr/>
      </xdr:nvSpPr>
      <xdr:spPr bwMode="auto">
        <a:xfrm>
          <a:off x="7315200" y="279800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132</xdr:row>
      <xdr:rowOff>119380</xdr:rowOff>
    </xdr:from>
    <xdr:to>
      <xdr:col>11</xdr:col>
      <xdr:colOff>63500</xdr:colOff>
      <xdr:row>133</xdr:row>
      <xdr:rowOff>0</xdr:rowOff>
    </xdr:to>
    <xdr:sp macro="" textlink="">
      <xdr:nvSpPr>
        <xdr:cNvPr id="604" name="nuNumber: 618" hidden="1">
          <a:extLst>
            <a:ext uri="{FF2B5EF4-FFF2-40B4-BE49-F238E27FC236}">
              <a16:creationId xmlns:a16="http://schemas.microsoft.com/office/drawing/2014/main" id="{22CB554A-9466-458F-B58F-07B930FC3352}"/>
            </a:ext>
          </a:extLst>
        </xdr:cNvPr>
        <xdr:cNvSpPr/>
      </xdr:nvSpPr>
      <xdr:spPr bwMode="auto">
        <a:xfrm>
          <a:off x="8105775" y="279800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132</xdr:row>
      <xdr:rowOff>119380</xdr:rowOff>
    </xdr:from>
    <xdr:to>
      <xdr:col>12</xdr:col>
      <xdr:colOff>63500</xdr:colOff>
      <xdr:row>133</xdr:row>
      <xdr:rowOff>0</xdr:rowOff>
    </xdr:to>
    <xdr:sp macro="" textlink="">
      <xdr:nvSpPr>
        <xdr:cNvPr id="605" name="nuNumber: 619" hidden="1">
          <a:extLst>
            <a:ext uri="{FF2B5EF4-FFF2-40B4-BE49-F238E27FC236}">
              <a16:creationId xmlns:a16="http://schemas.microsoft.com/office/drawing/2014/main" id="{6A6F1189-D0AC-44F0-8773-93F6D6E18977}"/>
            </a:ext>
          </a:extLst>
        </xdr:cNvPr>
        <xdr:cNvSpPr/>
      </xdr:nvSpPr>
      <xdr:spPr bwMode="auto">
        <a:xfrm>
          <a:off x="8972550" y="279800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132</xdr:row>
      <xdr:rowOff>119380</xdr:rowOff>
    </xdr:from>
    <xdr:to>
      <xdr:col>13</xdr:col>
      <xdr:colOff>63500</xdr:colOff>
      <xdr:row>133</xdr:row>
      <xdr:rowOff>0</xdr:rowOff>
    </xdr:to>
    <xdr:sp macro="" textlink="">
      <xdr:nvSpPr>
        <xdr:cNvPr id="606" name="nuNumber: 620" hidden="1">
          <a:extLst>
            <a:ext uri="{FF2B5EF4-FFF2-40B4-BE49-F238E27FC236}">
              <a16:creationId xmlns:a16="http://schemas.microsoft.com/office/drawing/2014/main" id="{8012A8E5-9FF6-4B21-A8E6-3BB4F15D9292}"/>
            </a:ext>
          </a:extLst>
        </xdr:cNvPr>
        <xdr:cNvSpPr/>
      </xdr:nvSpPr>
      <xdr:spPr bwMode="auto">
        <a:xfrm>
          <a:off x="9753600" y="279800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132</xdr:row>
      <xdr:rowOff>119380</xdr:rowOff>
    </xdr:from>
    <xdr:to>
      <xdr:col>14</xdr:col>
      <xdr:colOff>63500</xdr:colOff>
      <xdr:row>133</xdr:row>
      <xdr:rowOff>0</xdr:rowOff>
    </xdr:to>
    <xdr:sp macro="" textlink="">
      <xdr:nvSpPr>
        <xdr:cNvPr id="607" name="nuNumber: 621" hidden="1">
          <a:extLst>
            <a:ext uri="{FF2B5EF4-FFF2-40B4-BE49-F238E27FC236}">
              <a16:creationId xmlns:a16="http://schemas.microsoft.com/office/drawing/2014/main" id="{2576ED21-D8C1-4EC3-9B39-AF70B93162FD}"/>
            </a:ext>
          </a:extLst>
        </xdr:cNvPr>
        <xdr:cNvSpPr/>
      </xdr:nvSpPr>
      <xdr:spPr bwMode="auto">
        <a:xfrm>
          <a:off x="10515600" y="279800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132</xdr:row>
      <xdr:rowOff>119380</xdr:rowOff>
    </xdr:from>
    <xdr:to>
      <xdr:col>15</xdr:col>
      <xdr:colOff>63500</xdr:colOff>
      <xdr:row>133</xdr:row>
      <xdr:rowOff>0</xdr:rowOff>
    </xdr:to>
    <xdr:sp macro="" textlink="">
      <xdr:nvSpPr>
        <xdr:cNvPr id="608" name="nuNumber: 622" hidden="1">
          <a:extLst>
            <a:ext uri="{FF2B5EF4-FFF2-40B4-BE49-F238E27FC236}">
              <a16:creationId xmlns:a16="http://schemas.microsoft.com/office/drawing/2014/main" id="{C7503B40-372D-4BBF-B517-E0A16D573F5C}"/>
            </a:ext>
          </a:extLst>
        </xdr:cNvPr>
        <xdr:cNvSpPr/>
      </xdr:nvSpPr>
      <xdr:spPr bwMode="auto">
        <a:xfrm>
          <a:off x="11325225" y="279800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132</xdr:row>
      <xdr:rowOff>119380</xdr:rowOff>
    </xdr:from>
    <xdr:to>
      <xdr:col>16</xdr:col>
      <xdr:colOff>63500</xdr:colOff>
      <xdr:row>133</xdr:row>
      <xdr:rowOff>0</xdr:rowOff>
    </xdr:to>
    <xdr:sp macro="" textlink="">
      <xdr:nvSpPr>
        <xdr:cNvPr id="609" name="nuNumber: 623" hidden="1">
          <a:extLst>
            <a:ext uri="{FF2B5EF4-FFF2-40B4-BE49-F238E27FC236}">
              <a16:creationId xmlns:a16="http://schemas.microsoft.com/office/drawing/2014/main" id="{D9625BCA-47F3-46F0-B102-10D99E1E80FD}"/>
            </a:ext>
          </a:extLst>
        </xdr:cNvPr>
        <xdr:cNvSpPr/>
      </xdr:nvSpPr>
      <xdr:spPr bwMode="auto">
        <a:xfrm>
          <a:off x="12106275" y="279800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132</xdr:row>
      <xdr:rowOff>119380</xdr:rowOff>
    </xdr:from>
    <xdr:to>
      <xdr:col>17</xdr:col>
      <xdr:colOff>63500</xdr:colOff>
      <xdr:row>133</xdr:row>
      <xdr:rowOff>0</xdr:rowOff>
    </xdr:to>
    <xdr:sp macro="" textlink="">
      <xdr:nvSpPr>
        <xdr:cNvPr id="610" name="nuNumber: 624" hidden="1">
          <a:extLst>
            <a:ext uri="{FF2B5EF4-FFF2-40B4-BE49-F238E27FC236}">
              <a16:creationId xmlns:a16="http://schemas.microsoft.com/office/drawing/2014/main" id="{0C00FD96-CD17-46DC-95B8-DD5257854EDE}"/>
            </a:ext>
          </a:extLst>
        </xdr:cNvPr>
        <xdr:cNvSpPr/>
      </xdr:nvSpPr>
      <xdr:spPr bwMode="auto">
        <a:xfrm>
          <a:off x="12887325" y="279800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132</xdr:row>
      <xdr:rowOff>119380</xdr:rowOff>
    </xdr:from>
    <xdr:to>
      <xdr:col>18</xdr:col>
      <xdr:colOff>63499</xdr:colOff>
      <xdr:row>133</xdr:row>
      <xdr:rowOff>0</xdr:rowOff>
    </xdr:to>
    <xdr:sp macro="" textlink="">
      <xdr:nvSpPr>
        <xdr:cNvPr id="611" name="nuNumber: 625" hidden="1">
          <a:extLst>
            <a:ext uri="{FF2B5EF4-FFF2-40B4-BE49-F238E27FC236}">
              <a16:creationId xmlns:a16="http://schemas.microsoft.com/office/drawing/2014/main" id="{6FECC695-B68E-4C2F-911D-8B90965F5B70}"/>
            </a:ext>
          </a:extLst>
        </xdr:cNvPr>
        <xdr:cNvSpPr/>
      </xdr:nvSpPr>
      <xdr:spPr bwMode="auto">
        <a:xfrm>
          <a:off x="13624559" y="27980005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132</xdr:row>
      <xdr:rowOff>119380</xdr:rowOff>
    </xdr:from>
    <xdr:to>
      <xdr:col>19</xdr:col>
      <xdr:colOff>63500</xdr:colOff>
      <xdr:row>133</xdr:row>
      <xdr:rowOff>0</xdr:rowOff>
    </xdr:to>
    <xdr:sp macro="" textlink="">
      <xdr:nvSpPr>
        <xdr:cNvPr id="612" name="nuNumber: 626" hidden="1">
          <a:extLst>
            <a:ext uri="{FF2B5EF4-FFF2-40B4-BE49-F238E27FC236}">
              <a16:creationId xmlns:a16="http://schemas.microsoft.com/office/drawing/2014/main" id="{912BE62C-E438-46ED-A6A4-A8D8F2ECC063}"/>
            </a:ext>
          </a:extLst>
        </xdr:cNvPr>
        <xdr:cNvSpPr/>
      </xdr:nvSpPr>
      <xdr:spPr bwMode="auto">
        <a:xfrm>
          <a:off x="14382750" y="279800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132</xdr:row>
      <xdr:rowOff>119380</xdr:rowOff>
    </xdr:from>
    <xdr:to>
      <xdr:col>20</xdr:col>
      <xdr:colOff>63500</xdr:colOff>
      <xdr:row>133</xdr:row>
      <xdr:rowOff>0</xdr:rowOff>
    </xdr:to>
    <xdr:sp macro="" textlink="">
      <xdr:nvSpPr>
        <xdr:cNvPr id="613" name="nuNumber: 627" hidden="1">
          <a:extLst>
            <a:ext uri="{FF2B5EF4-FFF2-40B4-BE49-F238E27FC236}">
              <a16:creationId xmlns:a16="http://schemas.microsoft.com/office/drawing/2014/main" id="{DBF8ADD5-7DD2-4B8D-9F9D-FB77A772C5C7}"/>
            </a:ext>
          </a:extLst>
        </xdr:cNvPr>
        <xdr:cNvSpPr/>
      </xdr:nvSpPr>
      <xdr:spPr bwMode="auto">
        <a:xfrm>
          <a:off x="15135225" y="279800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132</xdr:row>
      <xdr:rowOff>119380</xdr:rowOff>
    </xdr:from>
    <xdr:to>
      <xdr:col>21</xdr:col>
      <xdr:colOff>63500</xdr:colOff>
      <xdr:row>133</xdr:row>
      <xdr:rowOff>0</xdr:rowOff>
    </xdr:to>
    <xdr:sp macro="" textlink="">
      <xdr:nvSpPr>
        <xdr:cNvPr id="614" name="nuNumber: 628" hidden="1">
          <a:extLst>
            <a:ext uri="{FF2B5EF4-FFF2-40B4-BE49-F238E27FC236}">
              <a16:creationId xmlns:a16="http://schemas.microsoft.com/office/drawing/2014/main" id="{1B1515DB-9E45-4135-BFC8-3144775EA4B1}"/>
            </a:ext>
          </a:extLst>
        </xdr:cNvPr>
        <xdr:cNvSpPr/>
      </xdr:nvSpPr>
      <xdr:spPr bwMode="auto">
        <a:xfrm>
          <a:off x="15849600" y="279800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133</xdr:row>
      <xdr:rowOff>119380</xdr:rowOff>
    </xdr:from>
    <xdr:to>
      <xdr:col>8</xdr:col>
      <xdr:colOff>63500</xdr:colOff>
      <xdr:row>134</xdr:row>
      <xdr:rowOff>0</xdr:rowOff>
    </xdr:to>
    <xdr:sp macro="" textlink="">
      <xdr:nvSpPr>
        <xdr:cNvPr id="615" name="nuNumber: 629" hidden="1">
          <a:extLst>
            <a:ext uri="{FF2B5EF4-FFF2-40B4-BE49-F238E27FC236}">
              <a16:creationId xmlns:a16="http://schemas.microsoft.com/office/drawing/2014/main" id="{5609C403-7F1B-4EBA-8981-21C46B507EC3}"/>
            </a:ext>
          </a:extLst>
        </xdr:cNvPr>
        <xdr:cNvSpPr/>
      </xdr:nvSpPr>
      <xdr:spPr bwMode="auto">
        <a:xfrm>
          <a:off x="5562600" y="281895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133</xdr:row>
      <xdr:rowOff>119380</xdr:rowOff>
    </xdr:from>
    <xdr:to>
      <xdr:col>9</xdr:col>
      <xdr:colOff>63500</xdr:colOff>
      <xdr:row>134</xdr:row>
      <xdr:rowOff>0</xdr:rowOff>
    </xdr:to>
    <xdr:sp macro="" textlink="">
      <xdr:nvSpPr>
        <xdr:cNvPr id="616" name="nuNumber: 630" hidden="1">
          <a:extLst>
            <a:ext uri="{FF2B5EF4-FFF2-40B4-BE49-F238E27FC236}">
              <a16:creationId xmlns:a16="http://schemas.microsoft.com/office/drawing/2014/main" id="{DC1E71EE-10B3-41AB-811F-EB9A83EACAA1}"/>
            </a:ext>
          </a:extLst>
        </xdr:cNvPr>
        <xdr:cNvSpPr/>
      </xdr:nvSpPr>
      <xdr:spPr bwMode="auto">
        <a:xfrm>
          <a:off x="6467475" y="281895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133</xdr:row>
      <xdr:rowOff>119380</xdr:rowOff>
    </xdr:from>
    <xdr:to>
      <xdr:col>9</xdr:col>
      <xdr:colOff>63500</xdr:colOff>
      <xdr:row>134</xdr:row>
      <xdr:rowOff>0</xdr:rowOff>
    </xdr:to>
    <xdr:sp macro="" textlink="">
      <xdr:nvSpPr>
        <xdr:cNvPr id="617" name="nuNumber: 631" hidden="1">
          <a:extLst>
            <a:ext uri="{FF2B5EF4-FFF2-40B4-BE49-F238E27FC236}">
              <a16:creationId xmlns:a16="http://schemas.microsoft.com/office/drawing/2014/main" id="{E2BD68FF-283B-4AAA-A072-D69A044B3916}"/>
            </a:ext>
          </a:extLst>
        </xdr:cNvPr>
        <xdr:cNvSpPr/>
      </xdr:nvSpPr>
      <xdr:spPr bwMode="auto">
        <a:xfrm>
          <a:off x="6467475" y="281895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133</xdr:row>
      <xdr:rowOff>119380</xdr:rowOff>
    </xdr:from>
    <xdr:to>
      <xdr:col>10</xdr:col>
      <xdr:colOff>63500</xdr:colOff>
      <xdr:row>134</xdr:row>
      <xdr:rowOff>0</xdr:rowOff>
    </xdr:to>
    <xdr:sp macro="" textlink="">
      <xdr:nvSpPr>
        <xdr:cNvPr id="618" name="nuNumber: 632" hidden="1">
          <a:extLst>
            <a:ext uri="{FF2B5EF4-FFF2-40B4-BE49-F238E27FC236}">
              <a16:creationId xmlns:a16="http://schemas.microsoft.com/office/drawing/2014/main" id="{15E738C9-0694-4FB6-930C-99EAF3483193}"/>
            </a:ext>
          </a:extLst>
        </xdr:cNvPr>
        <xdr:cNvSpPr/>
      </xdr:nvSpPr>
      <xdr:spPr bwMode="auto">
        <a:xfrm>
          <a:off x="7315200" y="281895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133</xdr:row>
      <xdr:rowOff>119380</xdr:rowOff>
    </xdr:from>
    <xdr:to>
      <xdr:col>11</xdr:col>
      <xdr:colOff>63500</xdr:colOff>
      <xdr:row>134</xdr:row>
      <xdr:rowOff>0</xdr:rowOff>
    </xdr:to>
    <xdr:sp macro="" textlink="">
      <xdr:nvSpPr>
        <xdr:cNvPr id="619" name="nuNumber: 633" hidden="1">
          <a:extLst>
            <a:ext uri="{FF2B5EF4-FFF2-40B4-BE49-F238E27FC236}">
              <a16:creationId xmlns:a16="http://schemas.microsoft.com/office/drawing/2014/main" id="{CE13F43C-E688-46CE-8A15-1A6FCEB4FC87}"/>
            </a:ext>
          </a:extLst>
        </xdr:cNvPr>
        <xdr:cNvSpPr/>
      </xdr:nvSpPr>
      <xdr:spPr bwMode="auto">
        <a:xfrm>
          <a:off x="8105775" y="281895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133</xdr:row>
      <xdr:rowOff>119380</xdr:rowOff>
    </xdr:from>
    <xdr:to>
      <xdr:col>12</xdr:col>
      <xdr:colOff>63500</xdr:colOff>
      <xdr:row>134</xdr:row>
      <xdr:rowOff>0</xdr:rowOff>
    </xdr:to>
    <xdr:sp macro="" textlink="">
      <xdr:nvSpPr>
        <xdr:cNvPr id="620" name="nuNumber: 634" hidden="1">
          <a:extLst>
            <a:ext uri="{FF2B5EF4-FFF2-40B4-BE49-F238E27FC236}">
              <a16:creationId xmlns:a16="http://schemas.microsoft.com/office/drawing/2014/main" id="{0B218DBF-6CCA-4476-8286-241D68844ABC}"/>
            </a:ext>
          </a:extLst>
        </xdr:cNvPr>
        <xdr:cNvSpPr/>
      </xdr:nvSpPr>
      <xdr:spPr bwMode="auto">
        <a:xfrm>
          <a:off x="8972550" y="281895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133</xdr:row>
      <xdr:rowOff>119380</xdr:rowOff>
    </xdr:from>
    <xdr:to>
      <xdr:col>13</xdr:col>
      <xdr:colOff>63500</xdr:colOff>
      <xdr:row>134</xdr:row>
      <xdr:rowOff>0</xdr:rowOff>
    </xdr:to>
    <xdr:sp macro="" textlink="">
      <xdr:nvSpPr>
        <xdr:cNvPr id="621" name="nuNumber: 635" hidden="1">
          <a:extLst>
            <a:ext uri="{FF2B5EF4-FFF2-40B4-BE49-F238E27FC236}">
              <a16:creationId xmlns:a16="http://schemas.microsoft.com/office/drawing/2014/main" id="{E015BF9A-1B3E-4F33-ADDA-A32914FE9C9D}"/>
            </a:ext>
          </a:extLst>
        </xdr:cNvPr>
        <xdr:cNvSpPr/>
      </xdr:nvSpPr>
      <xdr:spPr bwMode="auto">
        <a:xfrm>
          <a:off x="9753600" y="281895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133</xdr:row>
      <xdr:rowOff>119380</xdr:rowOff>
    </xdr:from>
    <xdr:to>
      <xdr:col>14</xdr:col>
      <xdr:colOff>63500</xdr:colOff>
      <xdr:row>134</xdr:row>
      <xdr:rowOff>0</xdr:rowOff>
    </xdr:to>
    <xdr:sp macro="" textlink="">
      <xdr:nvSpPr>
        <xdr:cNvPr id="622" name="nuNumber: 636" hidden="1">
          <a:extLst>
            <a:ext uri="{FF2B5EF4-FFF2-40B4-BE49-F238E27FC236}">
              <a16:creationId xmlns:a16="http://schemas.microsoft.com/office/drawing/2014/main" id="{6900BDF8-33C3-42F9-BD78-8AAF310A7CE3}"/>
            </a:ext>
          </a:extLst>
        </xdr:cNvPr>
        <xdr:cNvSpPr/>
      </xdr:nvSpPr>
      <xdr:spPr bwMode="auto">
        <a:xfrm>
          <a:off x="10515600" y="281895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133</xdr:row>
      <xdr:rowOff>119380</xdr:rowOff>
    </xdr:from>
    <xdr:to>
      <xdr:col>15</xdr:col>
      <xdr:colOff>63500</xdr:colOff>
      <xdr:row>134</xdr:row>
      <xdr:rowOff>0</xdr:rowOff>
    </xdr:to>
    <xdr:sp macro="" textlink="">
      <xdr:nvSpPr>
        <xdr:cNvPr id="623" name="nuNumber: 637" hidden="1">
          <a:extLst>
            <a:ext uri="{FF2B5EF4-FFF2-40B4-BE49-F238E27FC236}">
              <a16:creationId xmlns:a16="http://schemas.microsoft.com/office/drawing/2014/main" id="{5ED0E643-C0C0-4A95-9110-8A8C9D7B5556}"/>
            </a:ext>
          </a:extLst>
        </xdr:cNvPr>
        <xdr:cNvSpPr/>
      </xdr:nvSpPr>
      <xdr:spPr bwMode="auto">
        <a:xfrm>
          <a:off x="11325225" y="281895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133</xdr:row>
      <xdr:rowOff>119380</xdr:rowOff>
    </xdr:from>
    <xdr:to>
      <xdr:col>16</xdr:col>
      <xdr:colOff>63500</xdr:colOff>
      <xdr:row>134</xdr:row>
      <xdr:rowOff>0</xdr:rowOff>
    </xdr:to>
    <xdr:sp macro="" textlink="">
      <xdr:nvSpPr>
        <xdr:cNvPr id="624" name="nuNumber: 638" hidden="1">
          <a:extLst>
            <a:ext uri="{FF2B5EF4-FFF2-40B4-BE49-F238E27FC236}">
              <a16:creationId xmlns:a16="http://schemas.microsoft.com/office/drawing/2014/main" id="{7C3B8124-6FEE-443A-81F4-5337E5BDB882}"/>
            </a:ext>
          </a:extLst>
        </xdr:cNvPr>
        <xdr:cNvSpPr/>
      </xdr:nvSpPr>
      <xdr:spPr bwMode="auto">
        <a:xfrm>
          <a:off x="12106275" y="281895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133</xdr:row>
      <xdr:rowOff>119380</xdr:rowOff>
    </xdr:from>
    <xdr:to>
      <xdr:col>17</xdr:col>
      <xdr:colOff>63500</xdr:colOff>
      <xdr:row>134</xdr:row>
      <xdr:rowOff>0</xdr:rowOff>
    </xdr:to>
    <xdr:sp macro="" textlink="">
      <xdr:nvSpPr>
        <xdr:cNvPr id="625" name="nuNumber: 639" hidden="1">
          <a:extLst>
            <a:ext uri="{FF2B5EF4-FFF2-40B4-BE49-F238E27FC236}">
              <a16:creationId xmlns:a16="http://schemas.microsoft.com/office/drawing/2014/main" id="{52A58EBB-C5D1-4D0F-84E4-AFAFFB256DAC}"/>
            </a:ext>
          </a:extLst>
        </xdr:cNvPr>
        <xdr:cNvSpPr/>
      </xdr:nvSpPr>
      <xdr:spPr bwMode="auto">
        <a:xfrm>
          <a:off x="12887325" y="281895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133</xdr:row>
      <xdr:rowOff>119380</xdr:rowOff>
    </xdr:from>
    <xdr:to>
      <xdr:col>18</xdr:col>
      <xdr:colOff>63499</xdr:colOff>
      <xdr:row>134</xdr:row>
      <xdr:rowOff>0</xdr:rowOff>
    </xdr:to>
    <xdr:sp macro="" textlink="">
      <xdr:nvSpPr>
        <xdr:cNvPr id="626" name="nuNumber: 640" hidden="1">
          <a:extLst>
            <a:ext uri="{FF2B5EF4-FFF2-40B4-BE49-F238E27FC236}">
              <a16:creationId xmlns:a16="http://schemas.microsoft.com/office/drawing/2014/main" id="{515256A8-0AD2-49EC-AC88-ADBDD97382FD}"/>
            </a:ext>
          </a:extLst>
        </xdr:cNvPr>
        <xdr:cNvSpPr/>
      </xdr:nvSpPr>
      <xdr:spPr bwMode="auto">
        <a:xfrm>
          <a:off x="13624559" y="28189555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133</xdr:row>
      <xdr:rowOff>119380</xdr:rowOff>
    </xdr:from>
    <xdr:to>
      <xdr:col>19</xdr:col>
      <xdr:colOff>63500</xdr:colOff>
      <xdr:row>134</xdr:row>
      <xdr:rowOff>0</xdr:rowOff>
    </xdr:to>
    <xdr:sp macro="" textlink="">
      <xdr:nvSpPr>
        <xdr:cNvPr id="627" name="nuNumber: 641" hidden="1">
          <a:extLst>
            <a:ext uri="{FF2B5EF4-FFF2-40B4-BE49-F238E27FC236}">
              <a16:creationId xmlns:a16="http://schemas.microsoft.com/office/drawing/2014/main" id="{1581168B-0A5B-4699-8A32-01AB84AEC921}"/>
            </a:ext>
          </a:extLst>
        </xdr:cNvPr>
        <xdr:cNvSpPr/>
      </xdr:nvSpPr>
      <xdr:spPr bwMode="auto">
        <a:xfrm>
          <a:off x="14382750" y="281895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133</xdr:row>
      <xdr:rowOff>119380</xdr:rowOff>
    </xdr:from>
    <xdr:to>
      <xdr:col>20</xdr:col>
      <xdr:colOff>63500</xdr:colOff>
      <xdr:row>134</xdr:row>
      <xdr:rowOff>0</xdr:rowOff>
    </xdr:to>
    <xdr:sp macro="" textlink="">
      <xdr:nvSpPr>
        <xdr:cNvPr id="628" name="nuNumber: 642" hidden="1">
          <a:extLst>
            <a:ext uri="{FF2B5EF4-FFF2-40B4-BE49-F238E27FC236}">
              <a16:creationId xmlns:a16="http://schemas.microsoft.com/office/drawing/2014/main" id="{6D932898-B37F-4724-A627-6F58E9F9E2C6}"/>
            </a:ext>
          </a:extLst>
        </xdr:cNvPr>
        <xdr:cNvSpPr/>
      </xdr:nvSpPr>
      <xdr:spPr bwMode="auto">
        <a:xfrm>
          <a:off x="15135225" y="281895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133</xdr:row>
      <xdr:rowOff>119380</xdr:rowOff>
    </xdr:from>
    <xdr:to>
      <xdr:col>21</xdr:col>
      <xdr:colOff>63500</xdr:colOff>
      <xdr:row>134</xdr:row>
      <xdr:rowOff>0</xdr:rowOff>
    </xdr:to>
    <xdr:sp macro="" textlink="">
      <xdr:nvSpPr>
        <xdr:cNvPr id="629" name="nuNumber: 643" hidden="1">
          <a:extLst>
            <a:ext uri="{FF2B5EF4-FFF2-40B4-BE49-F238E27FC236}">
              <a16:creationId xmlns:a16="http://schemas.microsoft.com/office/drawing/2014/main" id="{F7D9D674-DC04-4DDA-9B48-C78499822598}"/>
            </a:ext>
          </a:extLst>
        </xdr:cNvPr>
        <xdr:cNvSpPr/>
      </xdr:nvSpPr>
      <xdr:spPr bwMode="auto">
        <a:xfrm>
          <a:off x="15849600" y="281895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134</xdr:row>
      <xdr:rowOff>119381</xdr:rowOff>
    </xdr:from>
    <xdr:to>
      <xdr:col>8</xdr:col>
      <xdr:colOff>63500</xdr:colOff>
      <xdr:row>135</xdr:row>
      <xdr:rowOff>1</xdr:rowOff>
    </xdr:to>
    <xdr:sp macro="" textlink="">
      <xdr:nvSpPr>
        <xdr:cNvPr id="630" name="nuNumber: 644" hidden="1">
          <a:extLst>
            <a:ext uri="{FF2B5EF4-FFF2-40B4-BE49-F238E27FC236}">
              <a16:creationId xmlns:a16="http://schemas.microsoft.com/office/drawing/2014/main" id="{9E1DBD0B-35BA-487E-AFB8-E90A2FEACBF3}"/>
            </a:ext>
          </a:extLst>
        </xdr:cNvPr>
        <xdr:cNvSpPr/>
      </xdr:nvSpPr>
      <xdr:spPr bwMode="auto">
        <a:xfrm>
          <a:off x="5562600" y="28399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134</xdr:row>
      <xdr:rowOff>119381</xdr:rowOff>
    </xdr:from>
    <xdr:to>
      <xdr:col>9</xdr:col>
      <xdr:colOff>63500</xdr:colOff>
      <xdr:row>135</xdr:row>
      <xdr:rowOff>1</xdr:rowOff>
    </xdr:to>
    <xdr:sp macro="" textlink="">
      <xdr:nvSpPr>
        <xdr:cNvPr id="631" name="nuNumber: 645" hidden="1">
          <a:extLst>
            <a:ext uri="{FF2B5EF4-FFF2-40B4-BE49-F238E27FC236}">
              <a16:creationId xmlns:a16="http://schemas.microsoft.com/office/drawing/2014/main" id="{16350CC8-545D-4BA1-8980-691A8A9A8927}"/>
            </a:ext>
          </a:extLst>
        </xdr:cNvPr>
        <xdr:cNvSpPr/>
      </xdr:nvSpPr>
      <xdr:spPr bwMode="auto">
        <a:xfrm>
          <a:off x="6467475" y="28399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134</xdr:row>
      <xdr:rowOff>119381</xdr:rowOff>
    </xdr:from>
    <xdr:to>
      <xdr:col>9</xdr:col>
      <xdr:colOff>63500</xdr:colOff>
      <xdr:row>135</xdr:row>
      <xdr:rowOff>1</xdr:rowOff>
    </xdr:to>
    <xdr:sp macro="" textlink="">
      <xdr:nvSpPr>
        <xdr:cNvPr id="632" name="nuNumber: 646" hidden="1">
          <a:extLst>
            <a:ext uri="{FF2B5EF4-FFF2-40B4-BE49-F238E27FC236}">
              <a16:creationId xmlns:a16="http://schemas.microsoft.com/office/drawing/2014/main" id="{8E0A6B4E-9419-41F2-9300-9C82A6CCC700}"/>
            </a:ext>
          </a:extLst>
        </xdr:cNvPr>
        <xdr:cNvSpPr/>
      </xdr:nvSpPr>
      <xdr:spPr bwMode="auto">
        <a:xfrm>
          <a:off x="6467475" y="28399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134</xdr:row>
      <xdr:rowOff>119381</xdr:rowOff>
    </xdr:from>
    <xdr:to>
      <xdr:col>10</xdr:col>
      <xdr:colOff>63500</xdr:colOff>
      <xdr:row>135</xdr:row>
      <xdr:rowOff>1</xdr:rowOff>
    </xdr:to>
    <xdr:sp macro="" textlink="">
      <xdr:nvSpPr>
        <xdr:cNvPr id="633" name="nuNumber: 647" hidden="1">
          <a:extLst>
            <a:ext uri="{FF2B5EF4-FFF2-40B4-BE49-F238E27FC236}">
              <a16:creationId xmlns:a16="http://schemas.microsoft.com/office/drawing/2014/main" id="{7DDDFCFD-8C7F-4C39-9F64-57D8DE7AC07E}"/>
            </a:ext>
          </a:extLst>
        </xdr:cNvPr>
        <xdr:cNvSpPr/>
      </xdr:nvSpPr>
      <xdr:spPr bwMode="auto">
        <a:xfrm>
          <a:off x="7315200" y="28399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134</xdr:row>
      <xdr:rowOff>119381</xdr:rowOff>
    </xdr:from>
    <xdr:to>
      <xdr:col>11</xdr:col>
      <xdr:colOff>63500</xdr:colOff>
      <xdr:row>135</xdr:row>
      <xdr:rowOff>1</xdr:rowOff>
    </xdr:to>
    <xdr:sp macro="" textlink="">
      <xdr:nvSpPr>
        <xdr:cNvPr id="634" name="nuNumber: 648" hidden="1">
          <a:extLst>
            <a:ext uri="{FF2B5EF4-FFF2-40B4-BE49-F238E27FC236}">
              <a16:creationId xmlns:a16="http://schemas.microsoft.com/office/drawing/2014/main" id="{B6350C37-BC18-41A7-860E-23727EA3DF75}"/>
            </a:ext>
          </a:extLst>
        </xdr:cNvPr>
        <xdr:cNvSpPr/>
      </xdr:nvSpPr>
      <xdr:spPr bwMode="auto">
        <a:xfrm>
          <a:off x="8105775" y="28399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134</xdr:row>
      <xdr:rowOff>119381</xdr:rowOff>
    </xdr:from>
    <xdr:to>
      <xdr:col>12</xdr:col>
      <xdr:colOff>63500</xdr:colOff>
      <xdr:row>135</xdr:row>
      <xdr:rowOff>1</xdr:rowOff>
    </xdr:to>
    <xdr:sp macro="" textlink="">
      <xdr:nvSpPr>
        <xdr:cNvPr id="635" name="nuNumber: 649" hidden="1">
          <a:extLst>
            <a:ext uri="{FF2B5EF4-FFF2-40B4-BE49-F238E27FC236}">
              <a16:creationId xmlns:a16="http://schemas.microsoft.com/office/drawing/2014/main" id="{2F47C92D-7091-47CE-B7A3-453B9DD2E66B}"/>
            </a:ext>
          </a:extLst>
        </xdr:cNvPr>
        <xdr:cNvSpPr/>
      </xdr:nvSpPr>
      <xdr:spPr bwMode="auto">
        <a:xfrm>
          <a:off x="8972550" y="28399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134</xdr:row>
      <xdr:rowOff>119381</xdr:rowOff>
    </xdr:from>
    <xdr:to>
      <xdr:col>13</xdr:col>
      <xdr:colOff>63500</xdr:colOff>
      <xdr:row>135</xdr:row>
      <xdr:rowOff>1</xdr:rowOff>
    </xdr:to>
    <xdr:sp macro="" textlink="">
      <xdr:nvSpPr>
        <xdr:cNvPr id="636" name="nuNumber: 650" hidden="1">
          <a:extLst>
            <a:ext uri="{FF2B5EF4-FFF2-40B4-BE49-F238E27FC236}">
              <a16:creationId xmlns:a16="http://schemas.microsoft.com/office/drawing/2014/main" id="{A66E0189-DC83-4F48-974E-2ABE55BC9FC1}"/>
            </a:ext>
          </a:extLst>
        </xdr:cNvPr>
        <xdr:cNvSpPr/>
      </xdr:nvSpPr>
      <xdr:spPr bwMode="auto">
        <a:xfrm>
          <a:off x="9753600" y="28399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134</xdr:row>
      <xdr:rowOff>119381</xdr:rowOff>
    </xdr:from>
    <xdr:to>
      <xdr:col>14</xdr:col>
      <xdr:colOff>63500</xdr:colOff>
      <xdr:row>135</xdr:row>
      <xdr:rowOff>1</xdr:rowOff>
    </xdr:to>
    <xdr:sp macro="" textlink="">
      <xdr:nvSpPr>
        <xdr:cNvPr id="637" name="nuNumber: 651" hidden="1">
          <a:extLst>
            <a:ext uri="{FF2B5EF4-FFF2-40B4-BE49-F238E27FC236}">
              <a16:creationId xmlns:a16="http://schemas.microsoft.com/office/drawing/2014/main" id="{4F198660-3B97-4DEF-8350-3C565F37A283}"/>
            </a:ext>
          </a:extLst>
        </xdr:cNvPr>
        <xdr:cNvSpPr/>
      </xdr:nvSpPr>
      <xdr:spPr bwMode="auto">
        <a:xfrm>
          <a:off x="10515600" y="28399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134</xdr:row>
      <xdr:rowOff>119381</xdr:rowOff>
    </xdr:from>
    <xdr:to>
      <xdr:col>15</xdr:col>
      <xdr:colOff>63500</xdr:colOff>
      <xdr:row>135</xdr:row>
      <xdr:rowOff>1</xdr:rowOff>
    </xdr:to>
    <xdr:sp macro="" textlink="">
      <xdr:nvSpPr>
        <xdr:cNvPr id="638" name="nuNumber: 652" hidden="1">
          <a:extLst>
            <a:ext uri="{FF2B5EF4-FFF2-40B4-BE49-F238E27FC236}">
              <a16:creationId xmlns:a16="http://schemas.microsoft.com/office/drawing/2014/main" id="{C7FAEA22-72A4-4A75-A6E3-0437DD537A1A}"/>
            </a:ext>
          </a:extLst>
        </xdr:cNvPr>
        <xdr:cNvSpPr/>
      </xdr:nvSpPr>
      <xdr:spPr bwMode="auto">
        <a:xfrm>
          <a:off x="11325225" y="28399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134</xdr:row>
      <xdr:rowOff>119381</xdr:rowOff>
    </xdr:from>
    <xdr:to>
      <xdr:col>16</xdr:col>
      <xdr:colOff>63500</xdr:colOff>
      <xdr:row>135</xdr:row>
      <xdr:rowOff>1</xdr:rowOff>
    </xdr:to>
    <xdr:sp macro="" textlink="">
      <xdr:nvSpPr>
        <xdr:cNvPr id="639" name="nuNumber: 653" hidden="1">
          <a:extLst>
            <a:ext uri="{FF2B5EF4-FFF2-40B4-BE49-F238E27FC236}">
              <a16:creationId xmlns:a16="http://schemas.microsoft.com/office/drawing/2014/main" id="{D19360F4-763E-49CD-A2C8-6BC715F860AC}"/>
            </a:ext>
          </a:extLst>
        </xdr:cNvPr>
        <xdr:cNvSpPr/>
      </xdr:nvSpPr>
      <xdr:spPr bwMode="auto">
        <a:xfrm>
          <a:off x="12106275" y="28399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134</xdr:row>
      <xdr:rowOff>119381</xdr:rowOff>
    </xdr:from>
    <xdr:to>
      <xdr:col>17</xdr:col>
      <xdr:colOff>63500</xdr:colOff>
      <xdr:row>135</xdr:row>
      <xdr:rowOff>1</xdr:rowOff>
    </xdr:to>
    <xdr:sp macro="" textlink="">
      <xdr:nvSpPr>
        <xdr:cNvPr id="640" name="nuNumber: 654" hidden="1">
          <a:extLst>
            <a:ext uri="{FF2B5EF4-FFF2-40B4-BE49-F238E27FC236}">
              <a16:creationId xmlns:a16="http://schemas.microsoft.com/office/drawing/2014/main" id="{F1D38990-62C3-4682-97BB-D1EE939484AE}"/>
            </a:ext>
          </a:extLst>
        </xdr:cNvPr>
        <xdr:cNvSpPr/>
      </xdr:nvSpPr>
      <xdr:spPr bwMode="auto">
        <a:xfrm>
          <a:off x="12887325" y="28399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134</xdr:row>
      <xdr:rowOff>119381</xdr:rowOff>
    </xdr:from>
    <xdr:to>
      <xdr:col>18</xdr:col>
      <xdr:colOff>63499</xdr:colOff>
      <xdr:row>135</xdr:row>
      <xdr:rowOff>1</xdr:rowOff>
    </xdr:to>
    <xdr:sp macro="" textlink="">
      <xdr:nvSpPr>
        <xdr:cNvPr id="641" name="nuNumber: 655" hidden="1">
          <a:extLst>
            <a:ext uri="{FF2B5EF4-FFF2-40B4-BE49-F238E27FC236}">
              <a16:creationId xmlns:a16="http://schemas.microsoft.com/office/drawing/2014/main" id="{7EA0571F-BC96-4D05-A574-8FDF6CAE1EBF}"/>
            </a:ext>
          </a:extLst>
        </xdr:cNvPr>
        <xdr:cNvSpPr/>
      </xdr:nvSpPr>
      <xdr:spPr bwMode="auto">
        <a:xfrm>
          <a:off x="13624559" y="28399106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134</xdr:row>
      <xdr:rowOff>119381</xdr:rowOff>
    </xdr:from>
    <xdr:to>
      <xdr:col>19</xdr:col>
      <xdr:colOff>63500</xdr:colOff>
      <xdr:row>135</xdr:row>
      <xdr:rowOff>1</xdr:rowOff>
    </xdr:to>
    <xdr:sp macro="" textlink="">
      <xdr:nvSpPr>
        <xdr:cNvPr id="642" name="nuNumber: 656" hidden="1">
          <a:extLst>
            <a:ext uri="{FF2B5EF4-FFF2-40B4-BE49-F238E27FC236}">
              <a16:creationId xmlns:a16="http://schemas.microsoft.com/office/drawing/2014/main" id="{98A1D6C9-DD08-4894-994C-B4D9A31A597F}"/>
            </a:ext>
          </a:extLst>
        </xdr:cNvPr>
        <xdr:cNvSpPr/>
      </xdr:nvSpPr>
      <xdr:spPr bwMode="auto">
        <a:xfrm>
          <a:off x="14382750" y="28399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134</xdr:row>
      <xdr:rowOff>119381</xdr:rowOff>
    </xdr:from>
    <xdr:to>
      <xdr:col>20</xdr:col>
      <xdr:colOff>63500</xdr:colOff>
      <xdr:row>135</xdr:row>
      <xdr:rowOff>1</xdr:rowOff>
    </xdr:to>
    <xdr:sp macro="" textlink="">
      <xdr:nvSpPr>
        <xdr:cNvPr id="643" name="nuNumber: 657" hidden="1">
          <a:extLst>
            <a:ext uri="{FF2B5EF4-FFF2-40B4-BE49-F238E27FC236}">
              <a16:creationId xmlns:a16="http://schemas.microsoft.com/office/drawing/2014/main" id="{A1855A5F-A190-438E-9F10-AF9B33E3D6CF}"/>
            </a:ext>
          </a:extLst>
        </xdr:cNvPr>
        <xdr:cNvSpPr/>
      </xdr:nvSpPr>
      <xdr:spPr bwMode="auto">
        <a:xfrm>
          <a:off x="15135225" y="28399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134</xdr:row>
      <xdr:rowOff>119381</xdr:rowOff>
    </xdr:from>
    <xdr:to>
      <xdr:col>21</xdr:col>
      <xdr:colOff>63500</xdr:colOff>
      <xdr:row>135</xdr:row>
      <xdr:rowOff>1</xdr:rowOff>
    </xdr:to>
    <xdr:sp macro="" textlink="">
      <xdr:nvSpPr>
        <xdr:cNvPr id="644" name="nuNumber: 658" hidden="1">
          <a:extLst>
            <a:ext uri="{FF2B5EF4-FFF2-40B4-BE49-F238E27FC236}">
              <a16:creationId xmlns:a16="http://schemas.microsoft.com/office/drawing/2014/main" id="{BB19AADE-92F3-491A-A437-842F72D27E6E}"/>
            </a:ext>
          </a:extLst>
        </xdr:cNvPr>
        <xdr:cNvSpPr/>
      </xdr:nvSpPr>
      <xdr:spPr bwMode="auto">
        <a:xfrm>
          <a:off x="15849600" y="28399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135</xdr:row>
      <xdr:rowOff>119379</xdr:rowOff>
    </xdr:from>
    <xdr:to>
      <xdr:col>8</xdr:col>
      <xdr:colOff>63500</xdr:colOff>
      <xdr:row>135</xdr:row>
      <xdr:rowOff>182879</xdr:rowOff>
    </xdr:to>
    <xdr:sp macro="" textlink="">
      <xdr:nvSpPr>
        <xdr:cNvPr id="645" name="nuNumber: 659" hidden="1">
          <a:extLst>
            <a:ext uri="{FF2B5EF4-FFF2-40B4-BE49-F238E27FC236}">
              <a16:creationId xmlns:a16="http://schemas.microsoft.com/office/drawing/2014/main" id="{2E285D74-B205-415F-8677-71B5ACBC8588}"/>
            </a:ext>
          </a:extLst>
        </xdr:cNvPr>
        <xdr:cNvSpPr/>
      </xdr:nvSpPr>
      <xdr:spPr bwMode="auto">
        <a:xfrm>
          <a:off x="5562600" y="286086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135</xdr:row>
      <xdr:rowOff>119379</xdr:rowOff>
    </xdr:from>
    <xdr:to>
      <xdr:col>9</xdr:col>
      <xdr:colOff>63500</xdr:colOff>
      <xdr:row>135</xdr:row>
      <xdr:rowOff>182879</xdr:rowOff>
    </xdr:to>
    <xdr:sp macro="" textlink="">
      <xdr:nvSpPr>
        <xdr:cNvPr id="646" name="nuNumber: 660" hidden="1">
          <a:extLst>
            <a:ext uri="{FF2B5EF4-FFF2-40B4-BE49-F238E27FC236}">
              <a16:creationId xmlns:a16="http://schemas.microsoft.com/office/drawing/2014/main" id="{79C3F03E-F9A0-4491-9286-93AAF9B2726C}"/>
            </a:ext>
          </a:extLst>
        </xdr:cNvPr>
        <xdr:cNvSpPr/>
      </xdr:nvSpPr>
      <xdr:spPr bwMode="auto">
        <a:xfrm>
          <a:off x="6467475" y="286086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135</xdr:row>
      <xdr:rowOff>119379</xdr:rowOff>
    </xdr:from>
    <xdr:to>
      <xdr:col>9</xdr:col>
      <xdr:colOff>63500</xdr:colOff>
      <xdr:row>135</xdr:row>
      <xdr:rowOff>182879</xdr:rowOff>
    </xdr:to>
    <xdr:sp macro="" textlink="">
      <xdr:nvSpPr>
        <xdr:cNvPr id="647" name="nuNumber: 661" hidden="1">
          <a:extLst>
            <a:ext uri="{FF2B5EF4-FFF2-40B4-BE49-F238E27FC236}">
              <a16:creationId xmlns:a16="http://schemas.microsoft.com/office/drawing/2014/main" id="{C7F74A92-4E7D-4719-B0C3-FA85D2175B0A}"/>
            </a:ext>
          </a:extLst>
        </xdr:cNvPr>
        <xdr:cNvSpPr/>
      </xdr:nvSpPr>
      <xdr:spPr bwMode="auto">
        <a:xfrm>
          <a:off x="6467475" y="286086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135</xdr:row>
      <xdr:rowOff>119379</xdr:rowOff>
    </xdr:from>
    <xdr:to>
      <xdr:col>10</xdr:col>
      <xdr:colOff>63500</xdr:colOff>
      <xdr:row>135</xdr:row>
      <xdr:rowOff>182879</xdr:rowOff>
    </xdr:to>
    <xdr:sp macro="" textlink="">
      <xdr:nvSpPr>
        <xdr:cNvPr id="648" name="nuNumber: 662" hidden="1">
          <a:extLst>
            <a:ext uri="{FF2B5EF4-FFF2-40B4-BE49-F238E27FC236}">
              <a16:creationId xmlns:a16="http://schemas.microsoft.com/office/drawing/2014/main" id="{6C116EC9-F465-4C46-9887-3BFE4890CE89}"/>
            </a:ext>
          </a:extLst>
        </xdr:cNvPr>
        <xdr:cNvSpPr/>
      </xdr:nvSpPr>
      <xdr:spPr bwMode="auto">
        <a:xfrm>
          <a:off x="7315200" y="286086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135</xdr:row>
      <xdr:rowOff>119379</xdr:rowOff>
    </xdr:from>
    <xdr:to>
      <xdr:col>11</xdr:col>
      <xdr:colOff>63500</xdr:colOff>
      <xdr:row>135</xdr:row>
      <xdr:rowOff>182879</xdr:rowOff>
    </xdr:to>
    <xdr:sp macro="" textlink="">
      <xdr:nvSpPr>
        <xdr:cNvPr id="649" name="nuNumber: 663" hidden="1">
          <a:extLst>
            <a:ext uri="{FF2B5EF4-FFF2-40B4-BE49-F238E27FC236}">
              <a16:creationId xmlns:a16="http://schemas.microsoft.com/office/drawing/2014/main" id="{61082407-191D-41F8-8784-33C27E9F59CB}"/>
            </a:ext>
          </a:extLst>
        </xdr:cNvPr>
        <xdr:cNvSpPr/>
      </xdr:nvSpPr>
      <xdr:spPr bwMode="auto">
        <a:xfrm>
          <a:off x="8105775" y="286086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135</xdr:row>
      <xdr:rowOff>119379</xdr:rowOff>
    </xdr:from>
    <xdr:to>
      <xdr:col>12</xdr:col>
      <xdr:colOff>63500</xdr:colOff>
      <xdr:row>135</xdr:row>
      <xdr:rowOff>182879</xdr:rowOff>
    </xdr:to>
    <xdr:sp macro="" textlink="">
      <xdr:nvSpPr>
        <xdr:cNvPr id="650" name="nuNumber: 664" hidden="1">
          <a:extLst>
            <a:ext uri="{FF2B5EF4-FFF2-40B4-BE49-F238E27FC236}">
              <a16:creationId xmlns:a16="http://schemas.microsoft.com/office/drawing/2014/main" id="{FAF42844-4F42-4884-8A51-31A179620871}"/>
            </a:ext>
          </a:extLst>
        </xdr:cNvPr>
        <xdr:cNvSpPr/>
      </xdr:nvSpPr>
      <xdr:spPr bwMode="auto">
        <a:xfrm>
          <a:off x="8972550" y="286086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135</xdr:row>
      <xdr:rowOff>119379</xdr:rowOff>
    </xdr:from>
    <xdr:to>
      <xdr:col>13</xdr:col>
      <xdr:colOff>63500</xdr:colOff>
      <xdr:row>135</xdr:row>
      <xdr:rowOff>182879</xdr:rowOff>
    </xdr:to>
    <xdr:sp macro="" textlink="">
      <xdr:nvSpPr>
        <xdr:cNvPr id="651" name="nuNumber: 665" hidden="1">
          <a:extLst>
            <a:ext uri="{FF2B5EF4-FFF2-40B4-BE49-F238E27FC236}">
              <a16:creationId xmlns:a16="http://schemas.microsoft.com/office/drawing/2014/main" id="{09B88CC0-D6E3-4D9D-BAA1-E6A2A97CE08D}"/>
            </a:ext>
          </a:extLst>
        </xdr:cNvPr>
        <xdr:cNvSpPr/>
      </xdr:nvSpPr>
      <xdr:spPr bwMode="auto">
        <a:xfrm>
          <a:off x="9753600" y="286086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135</xdr:row>
      <xdr:rowOff>119379</xdr:rowOff>
    </xdr:from>
    <xdr:to>
      <xdr:col>14</xdr:col>
      <xdr:colOff>63500</xdr:colOff>
      <xdr:row>135</xdr:row>
      <xdr:rowOff>182879</xdr:rowOff>
    </xdr:to>
    <xdr:sp macro="" textlink="">
      <xdr:nvSpPr>
        <xdr:cNvPr id="652" name="nuNumber: 666" hidden="1">
          <a:extLst>
            <a:ext uri="{FF2B5EF4-FFF2-40B4-BE49-F238E27FC236}">
              <a16:creationId xmlns:a16="http://schemas.microsoft.com/office/drawing/2014/main" id="{A246066B-1A1B-449B-816D-889A717A9992}"/>
            </a:ext>
          </a:extLst>
        </xdr:cNvPr>
        <xdr:cNvSpPr/>
      </xdr:nvSpPr>
      <xdr:spPr bwMode="auto">
        <a:xfrm>
          <a:off x="10515600" y="286086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135</xdr:row>
      <xdr:rowOff>119379</xdr:rowOff>
    </xdr:from>
    <xdr:to>
      <xdr:col>15</xdr:col>
      <xdr:colOff>63500</xdr:colOff>
      <xdr:row>135</xdr:row>
      <xdr:rowOff>182879</xdr:rowOff>
    </xdr:to>
    <xdr:sp macro="" textlink="">
      <xdr:nvSpPr>
        <xdr:cNvPr id="653" name="nuNumber: 667" hidden="1">
          <a:extLst>
            <a:ext uri="{FF2B5EF4-FFF2-40B4-BE49-F238E27FC236}">
              <a16:creationId xmlns:a16="http://schemas.microsoft.com/office/drawing/2014/main" id="{FAB211E3-9883-49C8-A9B4-DE2D4FC25A14}"/>
            </a:ext>
          </a:extLst>
        </xdr:cNvPr>
        <xdr:cNvSpPr/>
      </xdr:nvSpPr>
      <xdr:spPr bwMode="auto">
        <a:xfrm>
          <a:off x="11325225" y="286086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135</xdr:row>
      <xdr:rowOff>119379</xdr:rowOff>
    </xdr:from>
    <xdr:to>
      <xdr:col>16</xdr:col>
      <xdr:colOff>63500</xdr:colOff>
      <xdr:row>135</xdr:row>
      <xdr:rowOff>182879</xdr:rowOff>
    </xdr:to>
    <xdr:sp macro="" textlink="">
      <xdr:nvSpPr>
        <xdr:cNvPr id="654" name="nuNumber: 668" hidden="1">
          <a:extLst>
            <a:ext uri="{FF2B5EF4-FFF2-40B4-BE49-F238E27FC236}">
              <a16:creationId xmlns:a16="http://schemas.microsoft.com/office/drawing/2014/main" id="{C398585E-8C44-4650-B4C7-4969BB3A05F8}"/>
            </a:ext>
          </a:extLst>
        </xdr:cNvPr>
        <xdr:cNvSpPr/>
      </xdr:nvSpPr>
      <xdr:spPr bwMode="auto">
        <a:xfrm>
          <a:off x="12106275" y="286086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135</xdr:row>
      <xdr:rowOff>119379</xdr:rowOff>
    </xdr:from>
    <xdr:to>
      <xdr:col>17</xdr:col>
      <xdr:colOff>63500</xdr:colOff>
      <xdr:row>135</xdr:row>
      <xdr:rowOff>182879</xdr:rowOff>
    </xdr:to>
    <xdr:sp macro="" textlink="">
      <xdr:nvSpPr>
        <xdr:cNvPr id="655" name="nuNumber: 669" hidden="1">
          <a:extLst>
            <a:ext uri="{FF2B5EF4-FFF2-40B4-BE49-F238E27FC236}">
              <a16:creationId xmlns:a16="http://schemas.microsoft.com/office/drawing/2014/main" id="{42195214-392D-4933-951A-7265CD597D2B}"/>
            </a:ext>
          </a:extLst>
        </xdr:cNvPr>
        <xdr:cNvSpPr/>
      </xdr:nvSpPr>
      <xdr:spPr bwMode="auto">
        <a:xfrm>
          <a:off x="12887325" y="286086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135</xdr:row>
      <xdr:rowOff>119379</xdr:rowOff>
    </xdr:from>
    <xdr:to>
      <xdr:col>18</xdr:col>
      <xdr:colOff>63499</xdr:colOff>
      <xdr:row>135</xdr:row>
      <xdr:rowOff>182879</xdr:rowOff>
    </xdr:to>
    <xdr:sp macro="" textlink="">
      <xdr:nvSpPr>
        <xdr:cNvPr id="656" name="nuNumber: 670" hidden="1">
          <a:extLst>
            <a:ext uri="{FF2B5EF4-FFF2-40B4-BE49-F238E27FC236}">
              <a16:creationId xmlns:a16="http://schemas.microsoft.com/office/drawing/2014/main" id="{6872E48F-BF23-4E50-A19B-0CF3361571A3}"/>
            </a:ext>
          </a:extLst>
        </xdr:cNvPr>
        <xdr:cNvSpPr/>
      </xdr:nvSpPr>
      <xdr:spPr bwMode="auto">
        <a:xfrm>
          <a:off x="13624559" y="28608654"/>
          <a:ext cx="5969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135</xdr:row>
      <xdr:rowOff>119379</xdr:rowOff>
    </xdr:from>
    <xdr:to>
      <xdr:col>19</xdr:col>
      <xdr:colOff>63500</xdr:colOff>
      <xdr:row>135</xdr:row>
      <xdr:rowOff>182879</xdr:rowOff>
    </xdr:to>
    <xdr:sp macro="" textlink="">
      <xdr:nvSpPr>
        <xdr:cNvPr id="657" name="nuNumber: 671" hidden="1">
          <a:extLst>
            <a:ext uri="{FF2B5EF4-FFF2-40B4-BE49-F238E27FC236}">
              <a16:creationId xmlns:a16="http://schemas.microsoft.com/office/drawing/2014/main" id="{946E51D8-4E94-4911-B867-0471DC5C22B5}"/>
            </a:ext>
          </a:extLst>
        </xdr:cNvPr>
        <xdr:cNvSpPr/>
      </xdr:nvSpPr>
      <xdr:spPr bwMode="auto">
        <a:xfrm>
          <a:off x="14382750" y="286086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135</xdr:row>
      <xdr:rowOff>119379</xdr:rowOff>
    </xdr:from>
    <xdr:to>
      <xdr:col>20</xdr:col>
      <xdr:colOff>63500</xdr:colOff>
      <xdr:row>135</xdr:row>
      <xdr:rowOff>182879</xdr:rowOff>
    </xdr:to>
    <xdr:sp macro="" textlink="">
      <xdr:nvSpPr>
        <xdr:cNvPr id="658" name="nuNumber: 672" hidden="1">
          <a:extLst>
            <a:ext uri="{FF2B5EF4-FFF2-40B4-BE49-F238E27FC236}">
              <a16:creationId xmlns:a16="http://schemas.microsoft.com/office/drawing/2014/main" id="{AC099B0F-4BC0-461A-8AD6-F9A68AEF9DFB}"/>
            </a:ext>
          </a:extLst>
        </xdr:cNvPr>
        <xdr:cNvSpPr/>
      </xdr:nvSpPr>
      <xdr:spPr bwMode="auto">
        <a:xfrm>
          <a:off x="15135225" y="286086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135</xdr:row>
      <xdr:rowOff>119379</xdr:rowOff>
    </xdr:from>
    <xdr:to>
      <xdr:col>21</xdr:col>
      <xdr:colOff>63500</xdr:colOff>
      <xdr:row>135</xdr:row>
      <xdr:rowOff>182879</xdr:rowOff>
    </xdr:to>
    <xdr:sp macro="" textlink="">
      <xdr:nvSpPr>
        <xdr:cNvPr id="659" name="nuNumber: 673" hidden="1">
          <a:extLst>
            <a:ext uri="{FF2B5EF4-FFF2-40B4-BE49-F238E27FC236}">
              <a16:creationId xmlns:a16="http://schemas.microsoft.com/office/drawing/2014/main" id="{23FF8E81-5F59-4044-9136-88D28F63D8F8}"/>
            </a:ext>
          </a:extLst>
        </xdr:cNvPr>
        <xdr:cNvSpPr/>
      </xdr:nvSpPr>
      <xdr:spPr bwMode="auto">
        <a:xfrm>
          <a:off x="15849600" y="286086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136</xdr:row>
      <xdr:rowOff>119380</xdr:rowOff>
    </xdr:from>
    <xdr:to>
      <xdr:col>8</xdr:col>
      <xdr:colOff>63500</xdr:colOff>
      <xdr:row>137</xdr:row>
      <xdr:rowOff>0</xdr:rowOff>
    </xdr:to>
    <xdr:sp macro="" textlink="">
      <xdr:nvSpPr>
        <xdr:cNvPr id="660" name="nuNumber: 674" hidden="1">
          <a:extLst>
            <a:ext uri="{FF2B5EF4-FFF2-40B4-BE49-F238E27FC236}">
              <a16:creationId xmlns:a16="http://schemas.microsoft.com/office/drawing/2014/main" id="{C55BE5BC-8DCC-4CAD-9537-FBA815436A6B}"/>
            </a:ext>
          </a:extLst>
        </xdr:cNvPr>
        <xdr:cNvSpPr/>
      </xdr:nvSpPr>
      <xdr:spPr bwMode="auto">
        <a:xfrm>
          <a:off x="5562600" y="288182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136</xdr:row>
      <xdr:rowOff>119380</xdr:rowOff>
    </xdr:from>
    <xdr:to>
      <xdr:col>9</xdr:col>
      <xdr:colOff>63500</xdr:colOff>
      <xdr:row>137</xdr:row>
      <xdr:rowOff>0</xdr:rowOff>
    </xdr:to>
    <xdr:sp macro="" textlink="">
      <xdr:nvSpPr>
        <xdr:cNvPr id="661" name="nuNumber: 675" hidden="1">
          <a:extLst>
            <a:ext uri="{FF2B5EF4-FFF2-40B4-BE49-F238E27FC236}">
              <a16:creationId xmlns:a16="http://schemas.microsoft.com/office/drawing/2014/main" id="{792CBF1C-3A31-467A-B2A5-4F88C9A6E132}"/>
            </a:ext>
          </a:extLst>
        </xdr:cNvPr>
        <xdr:cNvSpPr/>
      </xdr:nvSpPr>
      <xdr:spPr bwMode="auto">
        <a:xfrm>
          <a:off x="6467475" y="288182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136</xdr:row>
      <xdr:rowOff>119380</xdr:rowOff>
    </xdr:from>
    <xdr:to>
      <xdr:col>9</xdr:col>
      <xdr:colOff>63500</xdr:colOff>
      <xdr:row>137</xdr:row>
      <xdr:rowOff>0</xdr:rowOff>
    </xdr:to>
    <xdr:sp macro="" textlink="">
      <xdr:nvSpPr>
        <xdr:cNvPr id="662" name="nuNumber: 676" hidden="1">
          <a:extLst>
            <a:ext uri="{FF2B5EF4-FFF2-40B4-BE49-F238E27FC236}">
              <a16:creationId xmlns:a16="http://schemas.microsoft.com/office/drawing/2014/main" id="{B3AB0D25-5144-4E04-8CE3-E14A7D22C307}"/>
            </a:ext>
          </a:extLst>
        </xdr:cNvPr>
        <xdr:cNvSpPr/>
      </xdr:nvSpPr>
      <xdr:spPr bwMode="auto">
        <a:xfrm>
          <a:off x="6467475" y="288182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136</xdr:row>
      <xdr:rowOff>119380</xdr:rowOff>
    </xdr:from>
    <xdr:to>
      <xdr:col>10</xdr:col>
      <xdr:colOff>63500</xdr:colOff>
      <xdr:row>137</xdr:row>
      <xdr:rowOff>0</xdr:rowOff>
    </xdr:to>
    <xdr:sp macro="" textlink="">
      <xdr:nvSpPr>
        <xdr:cNvPr id="663" name="nuNumber: 677" hidden="1">
          <a:extLst>
            <a:ext uri="{FF2B5EF4-FFF2-40B4-BE49-F238E27FC236}">
              <a16:creationId xmlns:a16="http://schemas.microsoft.com/office/drawing/2014/main" id="{B84B8D45-3FD6-4D92-9D7A-EB34C508038B}"/>
            </a:ext>
          </a:extLst>
        </xdr:cNvPr>
        <xdr:cNvSpPr/>
      </xdr:nvSpPr>
      <xdr:spPr bwMode="auto">
        <a:xfrm>
          <a:off x="7315200" y="288182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136</xdr:row>
      <xdr:rowOff>119380</xdr:rowOff>
    </xdr:from>
    <xdr:to>
      <xdr:col>11</xdr:col>
      <xdr:colOff>63500</xdr:colOff>
      <xdr:row>137</xdr:row>
      <xdr:rowOff>0</xdr:rowOff>
    </xdr:to>
    <xdr:sp macro="" textlink="">
      <xdr:nvSpPr>
        <xdr:cNvPr id="664" name="nuNumber: 678" hidden="1">
          <a:extLst>
            <a:ext uri="{FF2B5EF4-FFF2-40B4-BE49-F238E27FC236}">
              <a16:creationId xmlns:a16="http://schemas.microsoft.com/office/drawing/2014/main" id="{8061889B-FA28-465E-8848-3683A29DB5EF}"/>
            </a:ext>
          </a:extLst>
        </xdr:cNvPr>
        <xdr:cNvSpPr/>
      </xdr:nvSpPr>
      <xdr:spPr bwMode="auto">
        <a:xfrm>
          <a:off x="8105775" y="288182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136</xdr:row>
      <xdr:rowOff>119380</xdr:rowOff>
    </xdr:from>
    <xdr:to>
      <xdr:col>12</xdr:col>
      <xdr:colOff>63500</xdr:colOff>
      <xdr:row>137</xdr:row>
      <xdr:rowOff>0</xdr:rowOff>
    </xdr:to>
    <xdr:sp macro="" textlink="">
      <xdr:nvSpPr>
        <xdr:cNvPr id="665" name="nuNumber: 679" hidden="1">
          <a:extLst>
            <a:ext uri="{FF2B5EF4-FFF2-40B4-BE49-F238E27FC236}">
              <a16:creationId xmlns:a16="http://schemas.microsoft.com/office/drawing/2014/main" id="{4E37FA14-2CAE-4AD3-BE1F-8298D9F0B144}"/>
            </a:ext>
          </a:extLst>
        </xdr:cNvPr>
        <xdr:cNvSpPr/>
      </xdr:nvSpPr>
      <xdr:spPr bwMode="auto">
        <a:xfrm>
          <a:off x="8972550" y="288182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136</xdr:row>
      <xdr:rowOff>119380</xdr:rowOff>
    </xdr:from>
    <xdr:to>
      <xdr:col>13</xdr:col>
      <xdr:colOff>63500</xdr:colOff>
      <xdr:row>137</xdr:row>
      <xdr:rowOff>0</xdr:rowOff>
    </xdr:to>
    <xdr:sp macro="" textlink="">
      <xdr:nvSpPr>
        <xdr:cNvPr id="666" name="nuNumber: 680" hidden="1">
          <a:extLst>
            <a:ext uri="{FF2B5EF4-FFF2-40B4-BE49-F238E27FC236}">
              <a16:creationId xmlns:a16="http://schemas.microsoft.com/office/drawing/2014/main" id="{0B63BE4B-E269-4EAF-BB19-2113191844A9}"/>
            </a:ext>
          </a:extLst>
        </xdr:cNvPr>
        <xdr:cNvSpPr/>
      </xdr:nvSpPr>
      <xdr:spPr bwMode="auto">
        <a:xfrm>
          <a:off x="9753600" y="288182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136</xdr:row>
      <xdr:rowOff>119380</xdr:rowOff>
    </xdr:from>
    <xdr:to>
      <xdr:col>14</xdr:col>
      <xdr:colOff>63500</xdr:colOff>
      <xdr:row>137</xdr:row>
      <xdr:rowOff>0</xdr:rowOff>
    </xdr:to>
    <xdr:sp macro="" textlink="">
      <xdr:nvSpPr>
        <xdr:cNvPr id="667" name="nuNumber: 681" hidden="1">
          <a:extLst>
            <a:ext uri="{FF2B5EF4-FFF2-40B4-BE49-F238E27FC236}">
              <a16:creationId xmlns:a16="http://schemas.microsoft.com/office/drawing/2014/main" id="{216BF5D3-7841-4B84-BE56-6EFD58D0C486}"/>
            </a:ext>
          </a:extLst>
        </xdr:cNvPr>
        <xdr:cNvSpPr/>
      </xdr:nvSpPr>
      <xdr:spPr bwMode="auto">
        <a:xfrm>
          <a:off x="10515600" y="288182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136</xdr:row>
      <xdr:rowOff>119380</xdr:rowOff>
    </xdr:from>
    <xdr:to>
      <xdr:col>15</xdr:col>
      <xdr:colOff>63500</xdr:colOff>
      <xdr:row>137</xdr:row>
      <xdr:rowOff>0</xdr:rowOff>
    </xdr:to>
    <xdr:sp macro="" textlink="">
      <xdr:nvSpPr>
        <xdr:cNvPr id="668" name="nuNumber: 682" hidden="1">
          <a:extLst>
            <a:ext uri="{FF2B5EF4-FFF2-40B4-BE49-F238E27FC236}">
              <a16:creationId xmlns:a16="http://schemas.microsoft.com/office/drawing/2014/main" id="{41E87F6A-5AF2-420F-BDE9-B32DEE83B2B6}"/>
            </a:ext>
          </a:extLst>
        </xdr:cNvPr>
        <xdr:cNvSpPr/>
      </xdr:nvSpPr>
      <xdr:spPr bwMode="auto">
        <a:xfrm>
          <a:off x="11325225" y="288182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136</xdr:row>
      <xdr:rowOff>119380</xdr:rowOff>
    </xdr:from>
    <xdr:to>
      <xdr:col>16</xdr:col>
      <xdr:colOff>63500</xdr:colOff>
      <xdr:row>137</xdr:row>
      <xdr:rowOff>0</xdr:rowOff>
    </xdr:to>
    <xdr:sp macro="" textlink="">
      <xdr:nvSpPr>
        <xdr:cNvPr id="669" name="nuNumber: 683" hidden="1">
          <a:extLst>
            <a:ext uri="{FF2B5EF4-FFF2-40B4-BE49-F238E27FC236}">
              <a16:creationId xmlns:a16="http://schemas.microsoft.com/office/drawing/2014/main" id="{A33C8E40-05F4-42B6-8C6C-EAA074886610}"/>
            </a:ext>
          </a:extLst>
        </xdr:cNvPr>
        <xdr:cNvSpPr/>
      </xdr:nvSpPr>
      <xdr:spPr bwMode="auto">
        <a:xfrm>
          <a:off x="12106275" y="288182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136</xdr:row>
      <xdr:rowOff>119380</xdr:rowOff>
    </xdr:from>
    <xdr:to>
      <xdr:col>17</xdr:col>
      <xdr:colOff>63500</xdr:colOff>
      <xdr:row>137</xdr:row>
      <xdr:rowOff>0</xdr:rowOff>
    </xdr:to>
    <xdr:sp macro="" textlink="">
      <xdr:nvSpPr>
        <xdr:cNvPr id="670" name="nuNumber: 684" hidden="1">
          <a:extLst>
            <a:ext uri="{FF2B5EF4-FFF2-40B4-BE49-F238E27FC236}">
              <a16:creationId xmlns:a16="http://schemas.microsoft.com/office/drawing/2014/main" id="{339FF792-BA5D-46A9-AAF9-995758331E1A}"/>
            </a:ext>
          </a:extLst>
        </xdr:cNvPr>
        <xdr:cNvSpPr/>
      </xdr:nvSpPr>
      <xdr:spPr bwMode="auto">
        <a:xfrm>
          <a:off x="12887325" y="288182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136</xdr:row>
      <xdr:rowOff>119380</xdr:rowOff>
    </xdr:from>
    <xdr:to>
      <xdr:col>18</xdr:col>
      <xdr:colOff>63499</xdr:colOff>
      <xdr:row>137</xdr:row>
      <xdr:rowOff>0</xdr:rowOff>
    </xdr:to>
    <xdr:sp macro="" textlink="">
      <xdr:nvSpPr>
        <xdr:cNvPr id="671" name="nuNumber: 685" hidden="1">
          <a:extLst>
            <a:ext uri="{FF2B5EF4-FFF2-40B4-BE49-F238E27FC236}">
              <a16:creationId xmlns:a16="http://schemas.microsoft.com/office/drawing/2014/main" id="{9960674C-72AE-4474-9708-B2AA89327AB6}"/>
            </a:ext>
          </a:extLst>
        </xdr:cNvPr>
        <xdr:cNvSpPr/>
      </xdr:nvSpPr>
      <xdr:spPr bwMode="auto">
        <a:xfrm>
          <a:off x="13624559" y="28818205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136</xdr:row>
      <xdr:rowOff>119380</xdr:rowOff>
    </xdr:from>
    <xdr:to>
      <xdr:col>19</xdr:col>
      <xdr:colOff>63500</xdr:colOff>
      <xdr:row>137</xdr:row>
      <xdr:rowOff>0</xdr:rowOff>
    </xdr:to>
    <xdr:sp macro="" textlink="">
      <xdr:nvSpPr>
        <xdr:cNvPr id="672" name="nuNumber: 686" hidden="1">
          <a:extLst>
            <a:ext uri="{FF2B5EF4-FFF2-40B4-BE49-F238E27FC236}">
              <a16:creationId xmlns:a16="http://schemas.microsoft.com/office/drawing/2014/main" id="{6BF466A0-2DEE-4D4A-9985-98319935DEE5}"/>
            </a:ext>
          </a:extLst>
        </xdr:cNvPr>
        <xdr:cNvSpPr/>
      </xdr:nvSpPr>
      <xdr:spPr bwMode="auto">
        <a:xfrm>
          <a:off x="14382750" y="288182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136</xdr:row>
      <xdr:rowOff>119380</xdr:rowOff>
    </xdr:from>
    <xdr:to>
      <xdr:col>20</xdr:col>
      <xdr:colOff>63500</xdr:colOff>
      <xdr:row>137</xdr:row>
      <xdr:rowOff>0</xdr:rowOff>
    </xdr:to>
    <xdr:sp macro="" textlink="">
      <xdr:nvSpPr>
        <xdr:cNvPr id="673" name="nuNumber: 687" hidden="1">
          <a:extLst>
            <a:ext uri="{FF2B5EF4-FFF2-40B4-BE49-F238E27FC236}">
              <a16:creationId xmlns:a16="http://schemas.microsoft.com/office/drawing/2014/main" id="{85A8451A-ABE9-4BAA-BEC5-24890D261F2A}"/>
            </a:ext>
          </a:extLst>
        </xdr:cNvPr>
        <xdr:cNvSpPr/>
      </xdr:nvSpPr>
      <xdr:spPr bwMode="auto">
        <a:xfrm>
          <a:off x="15135225" y="288182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136</xdr:row>
      <xdr:rowOff>119380</xdr:rowOff>
    </xdr:from>
    <xdr:to>
      <xdr:col>21</xdr:col>
      <xdr:colOff>63500</xdr:colOff>
      <xdr:row>137</xdr:row>
      <xdr:rowOff>0</xdr:rowOff>
    </xdr:to>
    <xdr:sp macro="" textlink="">
      <xdr:nvSpPr>
        <xdr:cNvPr id="674" name="nuNumber: 688" hidden="1">
          <a:extLst>
            <a:ext uri="{FF2B5EF4-FFF2-40B4-BE49-F238E27FC236}">
              <a16:creationId xmlns:a16="http://schemas.microsoft.com/office/drawing/2014/main" id="{8FA0E78A-DF40-426A-B957-AA8855876488}"/>
            </a:ext>
          </a:extLst>
        </xdr:cNvPr>
        <xdr:cNvSpPr/>
      </xdr:nvSpPr>
      <xdr:spPr bwMode="auto">
        <a:xfrm>
          <a:off x="15849600" y="288182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137</xdr:row>
      <xdr:rowOff>119380</xdr:rowOff>
    </xdr:from>
    <xdr:to>
      <xdr:col>8</xdr:col>
      <xdr:colOff>63500</xdr:colOff>
      <xdr:row>138</xdr:row>
      <xdr:rowOff>0</xdr:rowOff>
    </xdr:to>
    <xdr:sp macro="" textlink="">
      <xdr:nvSpPr>
        <xdr:cNvPr id="675" name="nuNumber: 689" hidden="1">
          <a:extLst>
            <a:ext uri="{FF2B5EF4-FFF2-40B4-BE49-F238E27FC236}">
              <a16:creationId xmlns:a16="http://schemas.microsoft.com/office/drawing/2014/main" id="{4394B176-7AE5-4856-9A76-510B15D78733}"/>
            </a:ext>
          </a:extLst>
        </xdr:cNvPr>
        <xdr:cNvSpPr/>
      </xdr:nvSpPr>
      <xdr:spPr bwMode="auto">
        <a:xfrm>
          <a:off x="5562600" y="290277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137</xdr:row>
      <xdr:rowOff>119380</xdr:rowOff>
    </xdr:from>
    <xdr:to>
      <xdr:col>9</xdr:col>
      <xdr:colOff>63500</xdr:colOff>
      <xdr:row>138</xdr:row>
      <xdr:rowOff>0</xdr:rowOff>
    </xdr:to>
    <xdr:sp macro="" textlink="">
      <xdr:nvSpPr>
        <xdr:cNvPr id="676" name="nuNumber: 690" hidden="1">
          <a:extLst>
            <a:ext uri="{FF2B5EF4-FFF2-40B4-BE49-F238E27FC236}">
              <a16:creationId xmlns:a16="http://schemas.microsoft.com/office/drawing/2014/main" id="{20B7CDFC-CA7A-4850-B115-B8B848D922F3}"/>
            </a:ext>
          </a:extLst>
        </xdr:cNvPr>
        <xdr:cNvSpPr/>
      </xdr:nvSpPr>
      <xdr:spPr bwMode="auto">
        <a:xfrm>
          <a:off x="6467475" y="290277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137</xdr:row>
      <xdr:rowOff>119380</xdr:rowOff>
    </xdr:from>
    <xdr:to>
      <xdr:col>9</xdr:col>
      <xdr:colOff>63500</xdr:colOff>
      <xdr:row>138</xdr:row>
      <xdr:rowOff>0</xdr:rowOff>
    </xdr:to>
    <xdr:sp macro="" textlink="">
      <xdr:nvSpPr>
        <xdr:cNvPr id="677" name="nuNumber: 691" hidden="1">
          <a:extLst>
            <a:ext uri="{FF2B5EF4-FFF2-40B4-BE49-F238E27FC236}">
              <a16:creationId xmlns:a16="http://schemas.microsoft.com/office/drawing/2014/main" id="{0415DA6E-F5E4-4968-AEF7-209EDE26555D}"/>
            </a:ext>
          </a:extLst>
        </xdr:cNvPr>
        <xdr:cNvSpPr/>
      </xdr:nvSpPr>
      <xdr:spPr bwMode="auto">
        <a:xfrm>
          <a:off x="6467475" y="290277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137</xdr:row>
      <xdr:rowOff>119380</xdr:rowOff>
    </xdr:from>
    <xdr:to>
      <xdr:col>10</xdr:col>
      <xdr:colOff>63500</xdr:colOff>
      <xdr:row>138</xdr:row>
      <xdr:rowOff>0</xdr:rowOff>
    </xdr:to>
    <xdr:sp macro="" textlink="">
      <xdr:nvSpPr>
        <xdr:cNvPr id="678" name="nuNumber: 692" hidden="1">
          <a:extLst>
            <a:ext uri="{FF2B5EF4-FFF2-40B4-BE49-F238E27FC236}">
              <a16:creationId xmlns:a16="http://schemas.microsoft.com/office/drawing/2014/main" id="{0E23D62B-2EDE-4D36-B3C8-4DE2802484ED}"/>
            </a:ext>
          </a:extLst>
        </xdr:cNvPr>
        <xdr:cNvSpPr/>
      </xdr:nvSpPr>
      <xdr:spPr bwMode="auto">
        <a:xfrm>
          <a:off x="7315200" y="290277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137</xdr:row>
      <xdr:rowOff>119380</xdr:rowOff>
    </xdr:from>
    <xdr:to>
      <xdr:col>11</xdr:col>
      <xdr:colOff>63500</xdr:colOff>
      <xdr:row>138</xdr:row>
      <xdr:rowOff>0</xdr:rowOff>
    </xdr:to>
    <xdr:sp macro="" textlink="">
      <xdr:nvSpPr>
        <xdr:cNvPr id="679" name="nuNumber: 693" hidden="1">
          <a:extLst>
            <a:ext uri="{FF2B5EF4-FFF2-40B4-BE49-F238E27FC236}">
              <a16:creationId xmlns:a16="http://schemas.microsoft.com/office/drawing/2014/main" id="{90E04A0B-D030-473A-BD92-F87013D60087}"/>
            </a:ext>
          </a:extLst>
        </xdr:cNvPr>
        <xdr:cNvSpPr/>
      </xdr:nvSpPr>
      <xdr:spPr bwMode="auto">
        <a:xfrm>
          <a:off x="8105775" y="290277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137</xdr:row>
      <xdr:rowOff>119380</xdr:rowOff>
    </xdr:from>
    <xdr:to>
      <xdr:col>12</xdr:col>
      <xdr:colOff>63500</xdr:colOff>
      <xdr:row>138</xdr:row>
      <xdr:rowOff>0</xdr:rowOff>
    </xdr:to>
    <xdr:sp macro="" textlink="">
      <xdr:nvSpPr>
        <xdr:cNvPr id="680" name="nuNumber: 694" hidden="1">
          <a:extLst>
            <a:ext uri="{FF2B5EF4-FFF2-40B4-BE49-F238E27FC236}">
              <a16:creationId xmlns:a16="http://schemas.microsoft.com/office/drawing/2014/main" id="{D4AE6368-40F2-4ADC-B660-6D6ED2A76CD2}"/>
            </a:ext>
          </a:extLst>
        </xdr:cNvPr>
        <xdr:cNvSpPr/>
      </xdr:nvSpPr>
      <xdr:spPr bwMode="auto">
        <a:xfrm>
          <a:off x="8972550" y="290277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137</xdr:row>
      <xdr:rowOff>119380</xdr:rowOff>
    </xdr:from>
    <xdr:to>
      <xdr:col>13</xdr:col>
      <xdr:colOff>63500</xdr:colOff>
      <xdr:row>138</xdr:row>
      <xdr:rowOff>0</xdr:rowOff>
    </xdr:to>
    <xdr:sp macro="" textlink="">
      <xdr:nvSpPr>
        <xdr:cNvPr id="681" name="nuNumber: 695" hidden="1">
          <a:extLst>
            <a:ext uri="{FF2B5EF4-FFF2-40B4-BE49-F238E27FC236}">
              <a16:creationId xmlns:a16="http://schemas.microsoft.com/office/drawing/2014/main" id="{8FEBBAC0-2851-4628-A91F-C772C1EE5B55}"/>
            </a:ext>
          </a:extLst>
        </xdr:cNvPr>
        <xdr:cNvSpPr/>
      </xdr:nvSpPr>
      <xdr:spPr bwMode="auto">
        <a:xfrm>
          <a:off x="9753600" y="290277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137</xdr:row>
      <xdr:rowOff>119380</xdr:rowOff>
    </xdr:from>
    <xdr:to>
      <xdr:col>14</xdr:col>
      <xdr:colOff>63500</xdr:colOff>
      <xdr:row>138</xdr:row>
      <xdr:rowOff>0</xdr:rowOff>
    </xdr:to>
    <xdr:sp macro="" textlink="">
      <xdr:nvSpPr>
        <xdr:cNvPr id="682" name="nuNumber: 696" hidden="1">
          <a:extLst>
            <a:ext uri="{FF2B5EF4-FFF2-40B4-BE49-F238E27FC236}">
              <a16:creationId xmlns:a16="http://schemas.microsoft.com/office/drawing/2014/main" id="{9A368AB5-85CF-439F-80A5-48874D946762}"/>
            </a:ext>
          </a:extLst>
        </xdr:cNvPr>
        <xdr:cNvSpPr/>
      </xdr:nvSpPr>
      <xdr:spPr bwMode="auto">
        <a:xfrm>
          <a:off x="10515600" y="290277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137</xdr:row>
      <xdr:rowOff>119380</xdr:rowOff>
    </xdr:from>
    <xdr:to>
      <xdr:col>15</xdr:col>
      <xdr:colOff>63500</xdr:colOff>
      <xdr:row>138</xdr:row>
      <xdr:rowOff>0</xdr:rowOff>
    </xdr:to>
    <xdr:sp macro="" textlink="">
      <xdr:nvSpPr>
        <xdr:cNvPr id="683" name="nuNumber: 697" hidden="1">
          <a:extLst>
            <a:ext uri="{FF2B5EF4-FFF2-40B4-BE49-F238E27FC236}">
              <a16:creationId xmlns:a16="http://schemas.microsoft.com/office/drawing/2014/main" id="{74B87420-81D6-4975-8452-87A329E9CA7E}"/>
            </a:ext>
          </a:extLst>
        </xdr:cNvPr>
        <xdr:cNvSpPr/>
      </xdr:nvSpPr>
      <xdr:spPr bwMode="auto">
        <a:xfrm>
          <a:off x="11325225" y="290277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137</xdr:row>
      <xdr:rowOff>119380</xdr:rowOff>
    </xdr:from>
    <xdr:to>
      <xdr:col>16</xdr:col>
      <xdr:colOff>63500</xdr:colOff>
      <xdr:row>138</xdr:row>
      <xdr:rowOff>0</xdr:rowOff>
    </xdr:to>
    <xdr:sp macro="" textlink="">
      <xdr:nvSpPr>
        <xdr:cNvPr id="684" name="nuNumber: 698" hidden="1">
          <a:extLst>
            <a:ext uri="{FF2B5EF4-FFF2-40B4-BE49-F238E27FC236}">
              <a16:creationId xmlns:a16="http://schemas.microsoft.com/office/drawing/2014/main" id="{B3A131D1-45D3-4046-9914-19CED9E75C32}"/>
            </a:ext>
          </a:extLst>
        </xdr:cNvPr>
        <xdr:cNvSpPr/>
      </xdr:nvSpPr>
      <xdr:spPr bwMode="auto">
        <a:xfrm>
          <a:off x="12106275" y="290277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137</xdr:row>
      <xdr:rowOff>119380</xdr:rowOff>
    </xdr:from>
    <xdr:to>
      <xdr:col>17</xdr:col>
      <xdr:colOff>63500</xdr:colOff>
      <xdr:row>138</xdr:row>
      <xdr:rowOff>0</xdr:rowOff>
    </xdr:to>
    <xdr:sp macro="" textlink="">
      <xdr:nvSpPr>
        <xdr:cNvPr id="685" name="nuNumber: 699" hidden="1">
          <a:extLst>
            <a:ext uri="{FF2B5EF4-FFF2-40B4-BE49-F238E27FC236}">
              <a16:creationId xmlns:a16="http://schemas.microsoft.com/office/drawing/2014/main" id="{BF90E3D7-85C0-4167-B3F3-F08F6D610ADA}"/>
            </a:ext>
          </a:extLst>
        </xdr:cNvPr>
        <xdr:cNvSpPr/>
      </xdr:nvSpPr>
      <xdr:spPr bwMode="auto">
        <a:xfrm>
          <a:off x="12887325" y="290277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137</xdr:row>
      <xdr:rowOff>119380</xdr:rowOff>
    </xdr:from>
    <xdr:to>
      <xdr:col>18</xdr:col>
      <xdr:colOff>63499</xdr:colOff>
      <xdr:row>138</xdr:row>
      <xdr:rowOff>0</xdr:rowOff>
    </xdr:to>
    <xdr:sp macro="" textlink="">
      <xdr:nvSpPr>
        <xdr:cNvPr id="686" name="nuNumber: 700" hidden="1">
          <a:extLst>
            <a:ext uri="{FF2B5EF4-FFF2-40B4-BE49-F238E27FC236}">
              <a16:creationId xmlns:a16="http://schemas.microsoft.com/office/drawing/2014/main" id="{40521598-FE5E-4BAC-873C-EAD82E15CC0C}"/>
            </a:ext>
          </a:extLst>
        </xdr:cNvPr>
        <xdr:cNvSpPr/>
      </xdr:nvSpPr>
      <xdr:spPr bwMode="auto">
        <a:xfrm>
          <a:off x="13624559" y="29027755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137</xdr:row>
      <xdr:rowOff>119380</xdr:rowOff>
    </xdr:from>
    <xdr:to>
      <xdr:col>19</xdr:col>
      <xdr:colOff>63500</xdr:colOff>
      <xdr:row>138</xdr:row>
      <xdr:rowOff>0</xdr:rowOff>
    </xdr:to>
    <xdr:sp macro="" textlink="">
      <xdr:nvSpPr>
        <xdr:cNvPr id="687" name="nuNumber: 701" hidden="1">
          <a:extLst>
            <a:ext uri="{FF2B5EF4-FFF2-40B4-BE49-F238E27FC236}">
              <a16:creationId xmlns:a16="http://schemas.microsoft.com/office/drawing/2014/main" id="{94DDB115-6628-4FDA-8B2E-877D6F59D5C0}"/>
            </a:ext>
          </a:extLst>
        </xdr:cNvPr>
        <xdr:cNvSpPr/>
      </xdr:nvSpPr>
      <xdr:spPr bwMode="auto">
        <a:xfrm>
          <a:off x="14382750" y="290277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137</xdr:row>
      <xdr:rowOff>119380</xdr:rowOff>
    </xdr:from>
    <xdr:to>
      <xdr:col>20</xdr:col>
      <xdr:colOff>63500</xdr:colOff>
      <xdr:row>138</xdr:row>
      <xdr:rowOff>0</xdr:rowOff>
    </xdr:to>
    <xdr:sp macro="" textlink="">
      <xdr:nvSpPr>
        <xdr:cNvPr id="688" name="nuNumber: 702" hidden="1">
          <a:extLst>
            <a:ext uri="{FF2B5EF4-FFF2-40B4-BE49-F238E27FC236}">
              <a16:creationId xmlns:a16="http://schemas.microsoft.com/office/drawing/2014/main" id="{97A0D63E-6488-494A-9E2F-60B61873BC42}"/>
            </a:ext>
          </a:extLst>
        </xdr:cNvPr>
        <xdr:cNvSpPr/>
      </xdr:nvSpPr>
      <xdr:spPr bwMode="auto">
        <a:xfrm>
          <a:off x="15135225" y="290277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137</xdr:row>
      <xdr:rowOff>119380</xdr:rowOff>
    </xdr:from>
    <xdr:to>
      <xdr:col>21</xdr:col>
      <xdr:colOff>63500</xdr:colOff>
      <xdr:row>138</xdr:row>
      <xdr:rowOff>0</xdr:rowOff>
    </xdr:to>
    <xdr:sp macro="" textlink="">
      <xdr:nvSpPr>
        <xdr:cNvPr id="689" name="nuNumber: 703" hidden="1">
          <a:extLst>
            <a:ext uri="{FF2B5EF4-FFF2-40B4-BE49-F238E27FC236}">
              <a16:creationId xmlns:a16="http://schemas.microsoft.com/office/drawing/2014/main" id="{8E3A19DC-6751-46A3-A1F0-801F5AEE2860}"/>
            </a:ext>
          </a:extLst>
        </xdr:cNvPr>
        <xdr:cNvSpPr/>
      </xdr:nvSpPr>
      <xdr:spPr bwMode="auto">
        <a:xfrm>
          <a:off x="15849600" y="290277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140</xdr:row>
      <xdr:rowOff>119380</xdr:rowOff>
    </xdr:from>
    <xdr:to>
      <xdr:col>8</xdr:col>
      <xdr:colOff>63500</xdr:colOff>
      <xdr:row>141</xdr:row>
      <xdr:rowOff>0</xdr:rowOff>
    </xdr:to>
    <xdr:sp macro="" textlink="">
      <xdr:nvSpPr>
        <xdr:cNvPr id="690" name="nuNumber: 704" hidden="1">
          <a:extLst>
            <a:ext uri="{FF2B5EF4-FFF2-40B4-BE49-F238E27FC236}">
              <a16:creationId xmlns:a16="http://schemas.microsoft.com/office/drawing/2014/main" id="{9F995B3F-5BDD-45B7-9785-4EE7926638C3}"/>
            </a:ext>
          </a:extLst>
        </xdr:cNvPr>
        <xdr:cNvSpPr/>
      </xdr:nvSpPr>
      <xdr:spPr bwMode="auto">
        <a:xfrm>
          <a:off x="5562600" y="29656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140</xdr:row>
      <xdr:rowOff>119380</xdr:rowOff>
    </xdr:from>
    <xdr:to>
      <xdr:col>9</xdr:col>
      <xdr:colOff>63500</xdr:colOff>
      <xdr:row>141</xdr:row>
      <xdr:rowOff>0</xdr:rowOff>
    </xdr:to>
    <xdr:sp macro="" textlink="">
      <xdr:nvSpPr>
        <xdr:cNvPr id="691" name="nuNumber: 705" hidden="1">
          <a:extLst>
            <a:ext uri="{FF2B5EF4-FFF2-40B4-BE49-F238E27FC236}">
              <a16:creationId xmlns:a16="http://schemas.microsoft.com/office/drawing/2014/main" id="{E6CC4EA1-5266-4AF7-B174-254129BC0DEC}"/>
            </a:ext>
          </a:extLst>
        </xdr:cNvPr>
        <xdr:cNvSpPr/>
      </xdr:nvSpPr>
      <xdr:spPr bwMode="auto">
        <a:xfrm>
          <a:off x="6467475" y="29656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140</xdr:row>
      <xdr:rowOff>119380</xdr:rowOff>
    </xdr:from>
    <xdr:to>
      <xdr:col>10</xdr:col>
      <xdr:colOff>63500</xdr:colOff>
      <xdr:row>141</xdr:row>
      <xdr:rowOff>0</xdr:rowOff>
    </xdr:to>
    <xdr:sp macro="" textlink="">
      <xdr:nvSpPr>
        <xdr:cNvPr id="692" name="nuNumber: 706" hidden="1">
          <a:extLst>
            <a:ext uri="{FF2B5EF4-FFF2-40B4-BE49-F238E27FC236}">
              <a16:creationId xmlns:a16="http://schemas.microsoft.com/office/drawing/2014/main" id="{06881B87-AAF0-4ED3-849F-CB7BD1711D1E}"/>
            </a:ext>
          </a:extLst>
        </xdr:cNvPr>
        <xdr:cNvSpPr/>
      </xdr:nvSpPr>
      <xdr:spPr bwMode="auto">
        <a:xfrm>
          <a:off x="7315200" y="29656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140</xdr:row>
      <xdr:rowOff>119380</xdr:rowOff>
    </xdr:from>
    <xdr:to>
      <xdr:col>11</xdr:col>
      <xdr:colOff>63500</xdr:colOff>
      <xdr:row>141</xdr:row>
      <xdr:rowOff>0</xdr:rowOff>
    </xdr:to>
    <xdr:sp macro="" textlink="">
      <xdr:nvSpPr>
        <xdr:cNvPr id="693" name="nuNumber: 707" hidden="1">
          <a:extLst>
            <a:ext uri="{FF2B5EF4-FFF2-40B4-BE49-F238E27FC236}">
              <a16:creationId xmlns:a16="http://schemas.microsoft.com/office/drawing/2014/main" id="{E6A48385-1DA2-4BDD-AEE0-5CBFADDA3A63}"/>
            </a:ext>
          </a:extLst>
        </xdr:cNvPr>
        <xdr:cNvSpPr/>
      </xdr:nvSpPr>
      <xdr:spPr bwMode="auto">
        <a:xfrm>
          <a:off x="8105775" y="29656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140</xdr:row>
      <xdr:rowOff>119380</xdr:rowOff>
    </xdr:from>
    <xdr:to>
      <xdr:col>12</xdr:col>
      <xdr:colOff>63500</xdr:colOff>
      <xdr:row>141</xdr:row>
      <xdr:rowOff>0</xdr:rowOff>
    </xdr:to>
    <xdr:sp macro="" textlink="">
      <xdr:nvSpPr>
        <xdr:cNvPr id="694" name="nuNumber: 708" hidden="1">
          <a:extLst>
            <a:ext uri="{FF2B5EF4-FFF2-40B4-BE49-F238E27FC236}">
              <a16:creationId xmlns:a16="http://schemas.microsoft.com/office/drawing/2014/main" id="{9CE47148-55B6-4A35-9A92-D5CD4FDC35B7}"/>
            </a:ext>
          </a:extLst>
        </xdr:cNvPr>
        <xdr:cNvSpPr/>
      </xdr:nvSpPr>
      <xdr:spPr bwMode="auto">
        <a:xfrm>
          <a:off x="8972550" y="29656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140</xdr:row>
      <xdr:rowOff>119380</xdr:rowOff>
    </xdr:from>
    <xdr:to>
      <xdr:col>13</xdr:col>
      <xdr:colOff>63500</xdr:colOff>
      <xdr:row>141</xdr:row>
      <xdr:rowOff>0</xdr:rowOff>
    </xdr:to>
    <xdr:sp macro="" textlink="">
      <xdr:nvSpPr>
        <xdr:cNvPr id="695" name="nuNumber: 709" hidden="1">
          <a:extLst>
            <a:ext uri="{FF2B5EF4-FFF2-40B4-BE49-F238E27FC236}">
              <a16:creationId xmlns:a16="http://schemas.microsoft.com/office/drawing/2014/main" id="{574507E4-3187-403C-AC0D-87CB9E310825}"/>
            </a:ext>
          </a:extLst>
        </xdr:cNvPr>
        <xdr:cNvSpPr/>
      </xdr:nvSpPr>
      <xdr:spPr bwMode="auto">
        <a:xfrm>
          <a:off x="9753600" y="29656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140</xdr:row>
      <xdr:rowOff>119380</xdr:rowOff>
    </xdr:from>
    <xdr:to>
      <xdr:col>14</xdr:col>
      <xdr:colOff>63500</xdr:colOff>
      <xdr:row>141</xdr:row>
      <xdr:rowOff>0</xdr:rowOff>
    </xdr:to>
    <xdr:sp macro="" textlink="">
      <xdr:nvSpPr>
        <xdr:cNvPr id="696" name="nuNumber: 710" hidden="1">
          <a:extLst>
            <a:ext uri="{FF2B5EF4-FFF2-40B4-BE49-F238E27FC236}">
              <a16:creationId xmlns:a16="http://schemas.microsoft.com/office/drawing/2014/main" id="{1C6D50CD-7152-4BB7-86C9-A1D6DD90D25E}"/>
            </a:ext>
          </a:extLst>
        </xdr:cNvPr>
        <xdr:cNvSpPr/>
      </xdr:nvSpPr>
      <xdr:spPr bwMode="auto">
        <a:xfrm>
          <a:off x="10515600" y="29656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140</xdr:row>
      <xdr:rowOff>119380</xdr:rowOff>
    </xdr:from>
    <xdr:to>
      <xdr:col>15</xdr:col>
      <xdr:colOff>63500</xdr:colOff>
      <xdr:row>141</xdr:row>
      <xdr:rowOff>0</xdr:rowOff>
    </xdr:to>
    <xdr:sp macro="" textlink="">
      <xdr:nvSpPr>
        <xdr:cNvPr id="697" name="nuNumber: 711" hidden="1">
          <a:extLst>
            <a:ext uri="{FF2B5EF4-FFF2-40B4-BE49-F238E27FC236}">
              <a16:creationId xmlns:a16="http://schemas.microsoft.com/office/drawing/2014/main" id="{F60E7EAF-7057-4B86-91FF-4CF711D2F08C}"/>
            </a:ext>
          </a:extLst>
        </xdr:cNvPr>
        <xdr:cNvSpPr/>
      </xdr:nvSpPr>
      <xdr:spPr bwMode="auto">
        <a:xfrm>
          <a:off x="11325225" y="29656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140</xdr:row>
      <xdr:rowOff>119380</xdr:rowOff>
    </xdr:from>
    <xdr:to>
      <xdr:col>16</xdr:col>
      <xdr:colOff>63500</xdr:colOff>
      <xdr:row>141</xdr:row>
      <xdr:rowOff>0</xdr:rowOff>
    </xdr:to>
    <xdr:sp macro="" textlink="">
      <xdr:nvSpPr>
        <xdr:cNvPr id="698" name="nuNumber: 712" hidden="1">
          <a:extLst>
            <a:ext uri="{FF2B5EF4-FFF2-40B4-BE49-F238E27FC236}">
              <a16:creationId xmlns:a16="http://schemas.microsoft.com/office/drawing/2014/main" id="{A870DF0D-03BC-44B6-8C7B-E7A7F458DAF6}"/>
            </a:ext>
          </a:extLst>
        </xdr:cNvPr>
        <xdr:cNvSpPr/>
      </xdr:nvSpPr>
      <xdr:spPr bwMode="auto">
        <a:xfrm>
          <a:off x="12106275" y="29656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140</xdr:row>
      <xdr:rowOff>119380</xdr:rowOff>
    </xdr:from>
    <xdr:to>
      <xdr:col>17</xdr:col>
      <xdr:colOff>63500</xdr:colOff>
      <xdr:row>141</xdr:row>
      <xdr:rowOff>0</xdr:rowOff>
    </xdr:to>
    <xdr:sp macro="" textlink="">
      <xdr:nvSpPr>
        <xdr:cNvPr id="699" name="nuNumber: 713" hidden="1">
          <a:extLst>
            <a:ext uri="{FF2B5EF4-FFF2-40B4-BE49-F238E27FC236}">
              <a16:creationId xmlns:a16="http://schemas.microsoft.com/office/drawing/2014/main" id="{D26C5B43-C833-4379-9FFC-03BB719EEA54}"/>
            </a:ext>
          </a:extLst>
        </xdr:cNvPr>
        <xdr:cNvSpPr/>
      </xdr:nvSpPr>
      <xdr:spPr bwMode="auto">
        <a:xfrm>
          <a:off x="12887325" y="29656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140</xdr:row>
      <xdr:rowOff>119380</xdr:rowOff>
    </xdr:from>
    <xdr:to>
      <xdr:col>18</xdr:col>
      <xdr:colOff>63499</xdr:colOff>
      <xdr:row>141</xdr:row>
      <xdr:rowOff>0</xdr:rowOff>
    </xdr:to>
    <xdr:sp macro="" textlink="">
      <xdr:nvSpPr>
        <xdr:cNvPr id="700" name="nuNumber: 714" hidden="1">
          <a:extLst>
            <a:ext uri="{FF2B5EF4-FFF2-40B4-BE49-F238E27FC236}">
              <a16:creationId xmlns:a16="http://schemas.microsoft.com/office/drawing/2014/main" id="{2E2D7854-DFF7-4F66-8BBC-ACD2723D0D83}"/>
            </a:ext>
          </a:extLst>
        </xdr:cNvPr>
        <xdr:cNvSpPr/>
      </xdr:nvSpPr>
      <xdr:spPr bwMode="auto">
        <a:xfrm>
          <a:off x="13624559" y="29656405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140</xdr:row>
      <xdr:rowOff>119380</xdr:rowOff>
    </xdr:from>
    <xdr:to>
      <xdr:col>19</xdr:col>
      <xdr:colOff>63500</xdr:colOff>
      <xdr:row>141</xdr:row>
      <xdr:rowOff>0</xdr:rowOff>
    </xdr:to>
    <xdr:sp macro="" textlink="">
      <xdr:nvSpPr>
        <xdr:cNvPr id="701" name="nuNumber: 715" hidden="1">
          <a:extLst>
            <a:ext uri="{FF2B5EF4-FFF2-40B4-BE49-F238E27FC236}">
              <a16:creationId xmlns:a16="http://schemas.microsoft.com/office/drawing/2014/main" id="{D9D4E147-A629-40F4-959C-859BD3D0F2A5}"/>
            </a:ext>
          </a:extLst>
        </xdr:cNvPr>
        <xdr:cNvSpPr/>
      </xdr:nvSpPr>
      <xdr:spPr bwMode="auto">
        <a:xfrm>
          <a:off x="14382750" y="29656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140</xdr:row>
      <xdr:rowOff>119380</xdr:rowOff>
    </xdr:from>
    <xdr:to>
      <xdr:col>20</xdr:col>
      <xdr:colOff>63500</xdr:colOff>
      <xdr:row>141</xdr:row>
      <xdr:rowOff>0</xdr:rowOff>
    </xdr:to>
    <xdr:sp macro="" textlink="">
      <xdr:nvSpPr>
        <xdr:cNvPr id="702" name="nuNumber: 716" hidden="1">
          <a:extLst>
            <a:ext uri="{FF2B5EF4-FFF2-40B4-BE49-F238E27FC236}">
              <a16:creationId xmlns:a16="http://schemas.microsoft.com/office/drawing/2014/main" id="{38FB59B7-1DA4-4C39-AC3E-225D1958C119}"/>
            </a:ext>
          </a:extLst>
        </xdr:cNvPr>
        <xdr:cNvSpPr/>
      </xdr:nvSpPr>
      <xdr:spPr bwMode="auto">
        <a:xfrm>
          <a:off x="15135225" y="29656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140</xdr:row>
      <xdr:rowOff>119380</xdr:rowOff>
    </xdr:from>
    <xdr:to>
      <xdr:col>21</xdr:col>
      <xdr:colOff>63500</xdr:colOff>
      <xdr:row>141</xdr:row>
      <xdr:rowOff>0</xdr:rowOff>
    </xdr:to>
    <xdr:sp macro="" textlink="">
      <xdr:nvSpPr>
        <xdr:cNvPr id="703" name="nuNumber: 717" hidden="1">
          <a:extLst>
            <a:ext uri="{FF2B5EF4-FFF2-40B4-BE49-F238E27FC236}">
              <a16:creationId xmlns:a16="http://schemas.microsoft.com/office/drawing/2014/main" id="{E9208D80-D07E-4475-8979-57575D625381}"/>
            </a:ext>
          </a:extLst>
        </xdr:cNvPr>
        <xdr:cNvSpPr/>
      </xdr:nvSpPr>
      <xdr:spPr bwMode="auto">
        <a:xfrm>
          <a:off x="15849600" y="29656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141</xdr:row>
      <xdr:rowOff>119381</xdr:rowOff>
    </xdr:from>
    <xdr:to>
      <xdr:col>10</xdr:col>
      <xdr:colOff>63500</xdr:colOff>
      <xdr:row>142</xdr:row>
      <xdr:rowOff>1</xdr:rowOff>
    </xdr:to>
    <xdr:sp macro="" textlink="">
      <xdr:nvSpPr>
        <xdr:cNvPr id="704" name="nuNumber: 718" hidden="1">
          <a:extLst>
            <a:ext uri="{FF2B5EF4-FFF2-40B4-BE49-F238E27FC236}">
              <a16:creationId xmlns:a16="http://schemas.microsoft.com/office/drawing/2014/main" id="{D50E3F58-5EDE-449D-86A9-B771CF7EE751}"/>
            </a:ext>
          </a:extLst>
        </xdr:cNvPr>
        <xdr:cNvSpPr/>
      </xdr:nvSpPr>
      <xdr:spPr bwMode="auto">
        <a:xfrm>
          <a:off x="7315200" y="29865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141</xdr:row>
      <xdr:rowOff>119381</xdr:rowOff>
    </xdr:from>
    <xdr:to>
      <xdr:col>11</xdr:col>
      <xdr:colOff>63500</xdr:colOff>
      <xdr:row>142</xdr:row>
      <xdr:rowOff>1</xdr:rowOff>
    </xdr:to>
    <xdr:sp macro="" textlink="">
      <xdr:nvSpPr>
        <xdr:cNvPr id="705" name="nuNumber: 719" hidden="1">
          <a:extLst>
            <a:ext uri="{FF2B5EF4-FFF2-40B4-BE49-F238E27FC236}">
              <a16:creationId xmlns:a16="http://schemas.microsoft.com/office/drawing/2014/main" id="{C572A36D-9F0E-4228-A703-4FC89809444D}"/>
            </a:ext>
          </a:extLst>
        </xdr:cNvPr>
        <xdr:cNvSpPr/>
      </xdr:nvSpPr>
      <xdr:spPr bwMode="auto">
        <a:xfrm>
          <a:off x="8105775" y="29865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141</xdr:row>
      <xdr:rowOff>119381</xdr:rowOff>
    </xdr:from>
    <xdr:to>
      <xdr:col>12</xdr:col>
      <xdr:colOff>63500</xdr:colOff>
      <xdr:row>142</xdr:row>
      <xdr:rowOff>1</xdr:rowOff>
    </xdr:to>
    <xdr:sp macro="" textlink="">
      <xdr:nvSpPr>
        <xdr:cNvPr id="706" name="nuNumber: 720" hidden="1">
          <a:extLst>
            <a:ext uri="{FF2B5EF4-FFF2-40B4-BE49-F238E27FC236}">
              <a16:creationId xmlns:a16="http://schemas.microsoft.com/office/drawing/2014/main" id="{2F2793B2-E43E-475D-907E-ED6823F0624B}"/>
            </a:ext>
          </a:extLst>
        </xdr:cNvPr>
        <xdr:cNvSpPr/>
      </xdr:nvSpPr>
      <xdr:spPr bwMode="auto">
        <a:xfrm>
          <a:off x="8972550" y="29865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141</xdr:row>
      <xdr:rowOff>119381</xdr:rowOff>
    </xdr:from>
    <xdr:to>
      <xdr:col>13</xdr:col>
      <xdr:colOff>63500</xdr:colOff>
      <xdr:row>142</xdr:row>
      <xdr:rowOff>1</xdr:rowOff>
    </xdr:to>
    <xdr:sp macro="" textlink="">
      <xdr:nvSpPr>
        <xdr:cNvPr id="707" name="nuNumber: 721" hidden="1">
          <a:extLst>
            <a:ext uri="{FF2B5EF4-FFF2-40B4-BE49-F238E27FC236}">
              <a16:creationId xmlns:a16="http://schemas.microsoft.com/office/drawing/2014/main" id="{8912C204-7178-442B-8CCF-7F294789DD98}"/>
            </a:ext>
          </a:extLst>
        </xdr:cNvPr>
        <xdr:cNvSpPr/>
      </xdr:nvSpPr>
      <xdr:spPr bwMode="auto">
        <a:xfrm>
          <a:off x="9753600" y="29865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141</xdr:row>
      <xdr:rowOff>119381</xdr:rowOff>
    </xdr:from>
    <xdr:to>
      <xdr:col>14</xdr:col>
      <xdr:colOff>63500</xdr:colOff>
      <xdr:row>142</xdr:row>
      <xdr:rowOff>1</xdr:rowOff>
    </xdr:to>
    <xdr:sp macro="" textlink="">
      <xdr:nvSpPr>
        <xdr:cNvPr id="708" name="nuNumber: 722" hidden="1">
          <a:extLst>
            <a:ext uri="{FF2B5EF4-FFF2-40B4-BE49-F238E27FC236}">
              <a16:creationId xmlns:a16="http://schemas.microsoft.com/office/drawing/2014/main" id="{58492ADD-38A6-4602-9E9A-49C3CE2A16FF}"/>
            </a:ext>
          </a:extLst>
        </xdr:cNvPr>
        <xdr:cNvSpPr/>
      </xdr:nvSpPr>
      <xdr:spPr bwMode="auto">
        <a:xfrm>
          <a:off x="10515600" y="29865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141</xdr:row>
      <xdr:rowOff>119381</xdr:rowOff>
    </xdr:from>
    <xdr:to>
      <xdr:col>15</xdr:col>
      <xdr:colOff>63500</xdr:colOff>
      <xdr:row>142</xdr:row>
      <xdr:rowOff>1</xdr:rowOff>
    </xdr:to>
    <xdr:sp macro="" textlink="">
      <xdr:nvSpPr>
        <xdr:cNvPr id="709" name="nuNumber: 723" hidden="1">
          <a:extLst>
            <a:ext uri="{FF2B5EF4-FFF2-40B4-BE49-F238E27FC236}">
              <a16:creationId xmlns:a16="http://schemas.microsoft.com/office/drawing/2014/main" id="{1464E4D2-0A3C-4035-9753-9A78C178CAEF}"/>
            </a:ext>
          </a:extLst>
        </xdr:cNvPr>
        <xdr:cNvSpPr/>
      </xdr:nvSpPr>
      <xdr:spPr bwMode="auto">
        <a:xfrm>
          <a:off x="11325225" y="29865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141</xdr:row>
      <xdr:rowOff>119381</xdr:rowOff>
    </xdr:from>
    <xdr:to>
      <xdr:col>16</xdr:col>
      <xdr:colOff>63500</xdr:colOff>
      <xdr:row>142</xdr:row>
      <xdr:rowOff>1</xdr:rowOff>
    </xdr:to>
    <xdr:sp macro="" textlink="">
      <xdr:nvSpPr>
        <xdr:cNvPr id="710" name="nuNumber: 724" hidden="1">
          <a:extLst>
            <a:ext uri="{FF2B5EF4-FFF2-40B4-BE49-F238E27FC236}">
              <a16:creationId xmlns:a16="http://schemas.microsoft.com/office/drawing/2014/main" id="{FF86F3DA-5D6C-4004-8788-9BC41466BC35}"/>
            </a:ext>
          </a:extLst>
        </xdr:cNvPr>
        <xdr:cNvSpPr/>
      </xdr:nvSpPr>
      <xdr:spPr bwMode="auto">
        <a:xfrm>
          <a:off x="12106275" y="29865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141</xdr:row>
      <xdr:rowOff>119381</xdr:rowOff>
    </xdr:from>
    <xdr:to>
      <xdr:col>17</xdr:col>
      <xdr:colOff>63500</xdr:colOff>
      <xdr:row>142</xdr:row>
      <xdr:rowOff>1</xdr:rowOff>
    </xdr:to>
    <xdr:sp macro="" textlink="">
      <xdr:nvSpPr>
        <xdr:cNvPr id="711" name="nuNumber: 725" hidden="1">
          <a:extLst>
            <a:ext uri="{FF2B5EF4-FFF2-40B4-BE49-F238E27FC236}">
              <a16:creationId xmlns:a16="http://schemas.microsoft.com/office/drawing/2014/main" id="{8BD034FA-71C8-4B66-B806-9DF8BDE61195}"/>
            </a:ext>
          </a:extLst>
        </xdr:cNvPr>
        <xdr:cNvSpPr/>
      </xdr:nvSpPr>
      <xdr:spPr bwMode="auto">
        <a:xfrm>
          <a:off x="12887325" y="29865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141</xdr:row>
      <xdr:rowOff>119381</xdr:rowOff>
    </xdr:from>
    <xdr:to>
      <xdr:col>18</xdr:col>
      <xdr:colOff>63499</xdr:colOff>
      <xdr:row>142</xdr:row>
      <xdr:rowOff>1</xdr:rowOff>
    </xdr:to>
    <xdr:sp macro="" textlink="">
      <xdr:nvSpPr>
        <xdr:cNvPr id="712" name="nuNumber: 726" hidden="1">
          <a:extLst>
            <a:ext uri="{FF2B5EF4-FFF2-40B4-BE49-F238E27FC236}">
              <a16:creationId xmlns:a16="http://schemas.microsoft.com/office/drawing/2014/main" id="{75D4EE44-304D-41C3-9C58-7258712715E6}"/>
            </a:ext>
          </a:extLst>
        </xdr:cNvPr>
        <xdr:cNvSpPr/>
      </xdr:nvSpPr>
      <xdr:spPr bwMode="auto">
        <a:xfrm>
          <a:off x="13624559" y="29865956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141</xdr:row>
      <xdr:rowOff>119381</xdr:rowOff>
    </xdr:from>
    <xdr:to>
      <xdr:col>19</xdr:col>
      <xdr:colOff>63500</xdr:colOff>
      <xdr:row>142</xdr:row>
      <xdr:rowOff>1</xdr:rowOff>
    </xdr:to>
    <xdr:sp macro="" textlink="">
      <xdr:nvSpPr>
        <xdr:cNvPr id="713" name="nuNumber: 727" hidden="1">
          <a:extLst>
            <a:ext uri="{FF2B5EF4-FFF2-40B4-BE49-F238E27FC236}">
              <a16:creationId xmlns:a16="http://schemas.microsoft.com/office/drawing/2014/main" id="{E2031937-5DFB-411D-83AC-D4E5C89D7DA9}"/>
            </a:ext>
          </a:extLst>
        </xdr:cNvPr>
        <xdr:cNvSpPr/>
      </xdr:nvSpPr>
      <xdr:spPr bwMode="auto">
        <a:xfrm>
          <a:off x="14382750" y="29865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141</xdr:row>
      <xdr:rowOff>119381</xdr:rowOff>
    </xdr:from>
    <xdr:to>
      <xdr:col>20</xdr:col>
      <xdr:colOff>63500</xdr:colOff>
      <xdr:row>142</xdr:row>
      <xdr:rowOff>1</xdr:rowOff>
    </xdr:to>
    <xdr:sp macro="" textlink="">
      <xdr:nvSpPr>
        <xdr:cNvPr id="714" name="nuNumber: 728" hidden="1">
          <a:extLst>
            <a:ext uri="{FF2B5EF4-FFF2-40B4-BE49-F238E27FC236}">
              <a16:creationId xmlns:a16="http://schemas.microsoft.com/office/drawing/2014/main" id="{76073056-506A-4C27-B65E-337FCABB3798}"/>
            </a:ext>
          </a:extLst>
        </xdr:cNvPr>
        <xdr:cNvSpPr/>
      </xdr:nvSpPr>
      <xdr:spPr bwMode="auto">
        <a:xfrm>
          <a:off x="15135225" y="29865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141</xdr:row>
      <xdr:rowOff>119381</xdr:rowOff>
    </xdr:from>
    <xdr:to>
      <xdr:col>21</xdr:col>
      <xdr:colOff>63500</xdr:colOff>
      <xdr:row>142</xdr:row>
      <xdr:rowOff>1</xdr:rowOff>
    </xdr:to>
    <xdr:sp macro="" textlink="">
      <xdr:nvSpPr>
        <xdr:cNvPr id="715" name="nuNumber: 729" hidden="1">
          <a:extLst>
            <a:ext uri="{FF2B5EF4-FFF2-40B4-BE49-F238E27FC236}">
              <a16:creationId xmlns:a16="http://schemas.microsoft.com/office/drawing/2014/main" id="{45C94F6A-D893-4C22-90A9-6335807A70A4}"/>
            </a:ext>
          </a:extLst>
        </xdr:cNvPr>
        <xdr:cNvSpPr/>
      </xdr:nvSpPr>
      <xdr:spPr bwMode="auto">
        <a:xfrm>
          <a:off x="15849600" y="29865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142</xdr:row>
      <xdr:rowOff>119379</xdr:rowOff>
    </xdr:from>
    <xdr:to>
      <xdr:col>8</xdr:col>
      <xdr:colOff>63500</xdr:colOff>
      <xdr:row>142</xdr:row>
      <xdr:rowOff>182879</xdr:rowOff>
    </xdr:to>
    <xdr:sp macro="" textlink="">
      <xdr:nvSpPr>
        <xdr:cNvPr id="716" name="nuNumber: 730" hidden="1">
          <a:extLst>
            <a:ext uri="{FF2B5EF4-FFF2-40B4-BE49-F238E27FC236}">
              <a16:creationId xmlns:a16="http://schemas.microsoft.com/office/drawing/2014/main" id="{B84BC0D4-26B3-48F7-A61A-63C35F47D4CC}"/>
            </a:ext>
          </a:extLst>
        </xdr:cNvPr>
        <xdr:cNvSpPr/>
      </xdr:nvSpPr>
      <xdr:spPr bwMode="auto">
        <a:xfrm>
          <a:off x="5562600" y="300755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142</xdr:row>
      <xdr:rowOff>119379</xdr:rowOff>
    </xdr:from>
    <xdr:to>
      <xdr:col>9</xdr:col>
      <xdr:colOff>63500</xdr:colOff>
      <xdr:row>142</xdr:row>
      <xdr:rowOff>182879</xdr:rowOff>
    </xdr:to>
    <xdr:sp macro="" textlink="">
      <xdr:nvSpPr>
        <xdr:cNvPr id="717" name="nuNumber: 731" hidden="1">
          <a:extLst>
            <a:ext uri="{FF2B5EF4-FFF2-40B4-BE49-F238E27FC236}">
              <a16:creationId xmlns:a16="http://schemas.microsoft.com/office/drawing/2014/main" id="{6C1FAEDA-74E3-47CB-98BE-94D34476DA59}"/>
            </a:ext>
          </a:extLst>
        </xdr:cNvPr>
        <xdr:cNvSpPr/>
      </xdr:nvSpPr>
      <xdr:spPr bwMode="auto">
        <a:xfrm>
          <a:off x="6467475" y="300755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142</xdr:row>
      <xdr:rowOff>119379</xdr:rowOff>
    </xdr:from>
    <xdr:to>
      <xdr:col>9</xdr:col>
      <xdr:colOff>63500</xdr:colOff>
      <xdr:row>142</xdr:row>
      <xdr:rowOff>182879</xdr:rowOff>
    </xdr:to>
    <xdr:sp macro="" textlink="">
      <xdr:nvSpPr>
        <xdr:cNvPr id="718" name="nuNumber: 732" hidden="1">
          <a:extLst>
            <a:ext uri="{FF2B5EF4-FFF2-40B4-BE49-F238E27FC236}">
              <a16:creationId xmlns:a16="http://schemas.microsoft.com/office/drawing/2014/main" id="{42F73FB6-A041-4ACE-8864-4ADE89181CA7}"/>
            </a:ext>
          </a:extLst>
        </xdr:cNvPr>
        <xdr:cNvSpPr/>
      </xdr:nvSpPr>
      <xdr:spPr bwMode="auto">
        <a:xfrm>
          <a:off x="6467475" y="300755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142</xdr:row>
      <xdr:rowOff>119379</xdr:rowOff>
    </xdr:from>
    <xdr:to>
      <xdr:col>10</xdr:col>
      <xdr:colOff>63500</xdr:colOff>
      <xdr:row>142</xdr:row>
      <xdr:rowOff>182879</xdr:rowOff>
    </xdr:to>
    <xdr:sp macro="" textlink="">
      <xdr:nvSpPr>
        <xdr:cNvPr id="719" name="nuNumber: 733" hidden="1">
          <a:extLst>
            <a:ext uri="{FF2B5EF4-FFF2-40B4-BE49-F238E27FC236}">
              <a16:creationId xmlns:a16="http://schemas.microsoft.com/office/drawing/2014/main" id="{577D5EFD-E9B4-4156-93B3-94039F97F4F0}"/>
            </a:ext>
          </a:extLst>
        </xdr:cNvPr>
        <xdr:cNvSpPr/>
      </xdr:nvSpPr>
      <xdr:spPr bwMode="auto">
        <a:xfrm>
          <a:off x="7315200" y="300755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142</xdr:row>
      <xdr:rowOff>119379</xdr:rowOff>
    </xdr:from>
    <xdr:to>
      <xdr:col>11</xdr:col>
      <xdr:colOff>63500</xdr:colOff>
      <xdr:row>142</xdr:row>
      <xdr:rowOff>182879</xdr:rowOff>
    </xdr:to>
    <xdr:sp macro="" textlink="">
      <xdr:nvSpPr>
        <xdr:cNvPr id="720" name="nuNumber: 734" hidden="1">
          <a:extLst>
            <a:ext uri="{FF2B5EF4-FFF2-40B4-BE49-F238E27FC236}">
              <a16:creationId xmlns:a16="http://schemas.microsoft.com/office/drawing/2014/main" id="{9DA57857-3ACD-4CE7-A23E-8DBEB134E666}"/>
            </a:ext>
          </a:extLst>
        </xdr:cNvPr>
        <xdr:cNvSpPr/>
      </xdr:nvSpPr>
      <xdr:spPr bwMode="auto">
        <a:xfrm>
          <a:off x="8105775" y="300755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142</xdr:row>
      <xdr:rowOff>119379</xdr:rowOff>
    </xdr:from>
    <xdr:to>
      <xdr:col>12</xdr:col>
      <xdr:colOff>63500</xdr:colOff>
      <xdr:row>142</xdr:row>
      <xdr:rowOff>182879</xdr:rowOff>
    </xdr:to>
    <xdr:sp macro="" textlink="">
      <xdr:nvSpPr>
        <xdr:cNvPr id="721" name="nuNumber: 735" hidden="1">
          <a:extLst>
            <a:ext uri="{FF2B5EF4-FFF2-40B4-BE49-F238E27FC236}">
              <a16:creationId xmlns:a16="http://schemas.microsoft.com/office/drawing/2014/main" id="{BBBABF1D-1C84-423E-809A-9299B232E437}"/>
            </a:ext>
          </a:extLst>
        </xdr:cNvPr>
        <xdr:cNvSpPr/>
      </xdr:nvSpPr>
      <xdr:spPr bwMode="auto">
        <a:xfrm>
          <a:off x="8972550" y="300755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142</xdr:row>
      <xdr:rowOff>119379</xdr:rowOff>
    </xdr:from>
    <xdr:to>
      <xdr:col>13</xdr:col>
      <xdr:colOff>63500</xdr:colOff>
      <xdr:row>142</xdr:row>
      <xdr:rowOff>182879</xdr:rowOff>
    </xdr:to>
    <xdr:sp macro="" textlink="">
      <xdr:nvSpPr>
        <xdr:cNvPr id="722" name="nuNumber: 736" hidden="1">
          <a:extLst>
            <a:ext uri="{FF2B5EF4-FFF2-40B4-BE49-F238E27FC236}">
              <a16:creationId xmlns:a16="http://schemas.microsoft.com/office/drawing/2014/main" id="{24A8AB08-4BDB-4DEA-AA77-CD7458CF508B}"/>
            </a:ext>
          </a:extLst>
        </xdr:cNvPr>
        <xdr:cNvSpPr/>
      </xdr:nvSpPr>
      <xdr:spPr bwMode="auto">
        <a:xfrm>
          <a:off x="9753600" y="300755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142</xdr:row>
      <xdr:rowOff>119379</xdr:rowOff>
    </xdr:from>
    <xdr:to>
      <xdr:col>14</xdr:col>
      <xdr:colOff>63500</xdr:colOff>
      <xdr:row>142</xdr:row>
      <xdr:rowOff>182879</xdr:rowOff>
    </xdr:to>
    <xdr:sp macro="" textlink="">
      <xdr:nvSpPr>
        <xdr:cNvPr id="723" name="nuNumber: 737" hidden="1">
          <a:extLst>
            <a:ext uri="{FF2B5EF4-FFF2-40B4-BE49-F238E27FC236}">
              <a16:creationId xmlns:a16="http://schemas.microsoft.com/office/drawing/2014/main" id="{E6A4367D-9514-4A39-B368-262F0F3A968F}"/>
            </a:ext>
          </a:extLst>
        </xdr:cNvPr>
        <xdr:cNvSpPr/>
      </xdr:nvSpPr>
      <xdr:spPr bwMode="auto">
        <a:xfrm>
          <a:off x="10515600" y="300755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142</xdr:row>
      <xdr:rowOff>119379</xdr:rowOff>
    </xdr:from>
    <xdr:to>
      <xdr:col>15</xdr:col>
      <xdr:colOff>63500</xdr:colOff>
      <xdr:row>142</xdr:row>
      <xdr:rowOff>182879</xdr:rowOff>
    </xdr:to>
    <xdr:sp macro="" textlink="">
      <xdr:nvSpPr>
        <xdr:cNvPr id="724" name="nuNumber: 738" hidden="1">
          <a:extLst>
            <a:ext uri="{FF2B5EF4-FFF2-40B4-BE49-F238E27FC236}">
              <a16:creationId xmlns:a16="http://schemas.microsoft.com/office/drawing/2014/main" id="{4A3D5758-35BC-4673-B857-E81322CEA9FF}"/>
            </a:ext>
          </a:extLst>
        </xdr:cNvPr>
        <xdr:cNvSpPr/>
      </xdr:nvSpPr>
      <xdr:spPr bwMode="auto">
        <a:xfrm>
          <a:off x="11325225" y="300755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142</xdr:row>
      <xdr:rowOff>119379</xdr:rowOff>
    </xdr:from>
    <xdr:to>
      <xdr:col>16</xdr:col>
      <xdr:colOff>63500</xdr:colOff>
      <xdr:row>142</xdr:row>
      <xdr:rowOff>182879</xdr:rowOff>
    </xdr:to>
    <xdr:sp macro="" textlink="">
      <xdr:nvSpPr>
        <xdr:cNvPr id="725" name="nuNumber: 739" hidden="1">
          <a:extLst>
            <a:ext uri="{FF2B5EF4-FFF2-40B4-BE49-F238E27FC236}">
              <a16:creationId xmlns:a16="http://schemas.microsoft.com/office/drawing/2014/main" id="{36F5CE8D-7A53-4F8F-9616-2B5C516F1324}"/>
            </a:ext>
          </a:extLst>
        </xdr:cNvPr>
        <xdr:cNvSpPr/>
      </xdr:nvSpPr>
      <xdr:spPr bwMode="auto">
        <a:xfrm>
          <a:off x="12106275" y="300755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142</xdr:row>
      <xdr:rowOff>119379</xdr:rowOff>
    </xdr:from>
    <xdr:to>
      <xdr:col>17</xdr:col>
      <xdr:colOff>63500</xdr:colOff>
      <xdr:row>142</xdr:row>
      <xdr:rowOff>182879</xdr:rowOff>
    </xdr:to>
    <xdr:sp macro="" textlink="">
      <xdr:nvSpPr>
        <xdr:cNvPr id="726" name="nuNumber: 740" hidden="1">
          <a:extLst>
            <a:ext uri="{FF2B5EF4-FFF2-40B4-BE49-F238E27FC236}">
              <a16:creationId xmlns:a16="http://schemas.microsoft.com/office/drawing/2014/main" id="{5173B61F-65EC-4191-AAEB-CCC47F5B8C6D}"/>
            </a:ext>
          </a:extLst>
        </xdr:cNvPr>
        <xdr:cNvSpPr/>
      </xdr:nvSpPr>
      <xdr:spPr bwMode="auto">
        <a:xfrm>
          <a:off x="12887325" y="300755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142</xdr:row>
      <xdr:rowOff>119379</xdr:rowOff>
    </xdr:from>
    <xdr:to>
      <xdr:col>18</xdr:col>
      <xdr:colOff>63499</xdr:colOff>
      <xdr:row>142</xdr:row>
      <xdr:rowOff>182879</xdr:rowOff>
    </xdr:to>
    <xdr:sp macro="" textlink="">
      <xdr:nvSpPr>
        <xdr:cNvPr id="727" name="nuNumber: 741" hidden="1">
          <a:extLst>
            <a:ext uri="{FF2B5EF4-FFF2-40B4-BE49-F238E27FC236}">
              <a16:creationId xmlns:a16="http://schemas.microsoft.com/office/drawing/2014/main" id="{E9CCBF34-F7A2-44C0-9747-4D4DEC648FD8}"/>
            </a:ext>
          </a:extLst>
        </xdr:cNvPr>
        <xdr:cNvSpPr/>
      </xdr:nvSpPr>
      <xdr:spPr bwMode="auto">
        <a:xfrm>
          <a:off x="13624559" y="30075504"/>
          <a:ext cx="5969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142</xdr:row>
      <xdr:rowOff>119379</xdr:rowOff>
    </xdr:from>
    <xdr:to>
      <xdr:col>19</xdr:col>
      <xdr:colOff>63500</xdr:colOff>
      <xdr:row>142</xdr:row>
      <xdr:rowOff>182879</xdr:rowOff>
    </xdr:to>
    <xdr:sp macro="" textlink="">
      <xdr:nvSpPr>
        <xdr:cNvPr id="728" name="nuNumber: 742" hidden="1">
          <a:extLst>
            <a:ext uri="{FF2B5EF4-FFF2-40B4-BE49-F238E27FC236}">
              <a16:creationId xmlns:a16="http://schemas.microsoft.com/office/drawing/2014/main" id="{1C5F8CD5-84EC-4B38-BB85-5EE4A0FACEC5}"/>
            </a:ext>
          </a:extLst>
        </xdr:cNvPr>
        <xdr:cNvSpPr/>
      </xdr:nvSpPr>
      <xdr:spPr bwMode="auto">
        <a:xfrm>
          <a:off x="14382750" y="300755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142</xdr:row>
      <xdr:rowOff>119379</xdr:rowOff>
    </xdr:from>
    <xdr:to>
      <xdr:col>20</xdr:col>
      <xdr:colOff>63500</xdr:colOff>
      <xdr:row>142</xdr:row>
      <xdr:rowOff>182879</xdr:rowOff>
    </xdr:to>
    <xdr:sp macro="" textlink="">
      <xdr:nvSpPr>
        <xdr:cNvPr id="729" name="nuNumber: 743" hidden="1">
          <a:extLst>
            <a:ext uri="{FF2B5EF4-FFF2-40B4-BE49-F238E27FC236}">
              <a16:creationId xmlns:a16="http://schemas.microsoft.com/office/drawing/2014/main" id="{436D7BDD-1A93-40D2-BD7E-936F8815A48A}"/>
            </a:ext>
          </a:extLst>
        </xdr:cNvPr>
        <xdr:cNvSpPr/>
      </xdr:nvSpPr>
      <xdr:spPr bwMode="auto">
        <a:xfrm>
          <a:off x="15135225" y="300755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142</xdr:row>
      <xdr:rowOff>119379</xdr:rowOff>
    </xdr:from>
    <xdr:to>
      <xdr:col>21</xdr:col>
      <xdr:colOff>63500</xdr:colOff>
      <xdr:row>142</xdr:row>
      <xdr:rowOff>182879</xdr:rowOff>
    </xdr:to>
    <xdr:sp macro="" textlink="">
      <xdr:nvSpPr>
        <xdr:cNvPr id="730" name="nuNumber: 744" hidden="1">
          <a:extLst>
            <a:ext uri="{FF2B5EF4-FFF2-40B4-BE49-F238E27FC236}">
              <a16:creationId xmlns:a16="http://schemas.microsoft.com/office/drawing/2014/main" id="{CA489D0C-05C4-4AC1-B4D9-283BFAB85980}"/>
            </a:ext>
          </a:extLst>
        </xdr:cNvPr>
        <xdr:cNvSpPr/>
      </xdr:nvSpPr>
      <xdr:spPr bwMode="auto">
        <a:xfrm>
          <a:off x="15849600" y="300755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145</xdr:row>
      <xdr:rowOff>119379</xdr:rowOff>
    </xdr:from>
    <xdr:to>
      <xdr:col>8</xdr:col>
      <xdr:colOff>63500</xdr:colOff>
      <xdr:row>145</xdr:row>
      <xdr:rowOff>182879</xdr:rowOff>
    </xdr:to>
    <xdr:sp macro="" textlink="">
      <xdr:nvSpPr>
        <xdr:cNvPr id="731" name="nuNumber: 745" hidden="1">
          <a:extLst>
            <a:ext uri="{FF2B5EF4-FFF2-40B4-BE49-F238E27FC236}">
              <a16:creationId xmlns:a16="http://schemas.microsoft.com/office/drawing/2014/main" id="{571E82F4-90A4-4727-A7CE-520139CC6409}"/>
            </a:ext>
          </a:extLst>
        </xdr:cNvPr>
        <xdr:cNvSpPr/>
      </xdr:nvSpPr>
      <xdr:spPr bwMode="auto">
        <a:xfrm>
          <a:off x="5562600" y="307041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145</xdr:row>
      <xdr:rowOff>119379</xdr:rowOff>
    </xdr:from>
    <xdr:to>
      <xdr:col>9</xdr:col>
      <xdr:colOff>63500</xdr:colOff>
      <xdr:row>145</xdr:row>
      <xdr:rowOff>182879</xdr:rowOff>
    </xdr:to>
    <xdr:sp macro="" textlink="">
      <xdr:nvSpPr>
        <xdr:cNvPr id="732" name="nuNumber: 746" hidden="1">
          <a:extLst>
            <a:ext uri="{FF2B5EF4-FFF2-40B4-BE49-F238E27FC236}">
              <a16:creationId xmlns:a16="http://schemas.microsoft.com/office/drawing/2014/main" id="{AFE4F400-57E3-4F85-A93E-57A96C77EAD3}"/>
            </a:ext>
          </a:extLst>
        </xdr:cNvPr>
        <xdr:cNvSpPr/>
      </xdr:nvSpPr>
      <xdr:spPr bwMode="auto">
        <a:xfrm>
          <a:off x="6467475" y="307041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145</xdr:row>
      <xdr:rowOff>119379</xdr:rowOff>
    </xdr:from>
    <xdr:to>
      <xdr:col>10</xdr:col>
      <xdr:colOff>63500</xdr:colOff>
      <xdr:row>145</xdr:row>
      <xdr:rowOff>182879</xdr:rowOff>
    </xdr:to>
    <xdr:sp macro="" textlink="">
      <xdr:nvSpPr>
        <xdr:cNvPr id="733" name="nuNumber: 747" hidden="1">
          <a:extLst>
            <a:ext uri="{FF2B5EF4-FFF2-40B4-BE49-F238E27FC236}">
              <a16:creationId xmlns:a16="http://schemas.microsoft.com/office/drawing/2014/main" id="{895C382F-CED9-461E-B006-850C2443DACE}"/>
            </a:ext>
          </a:extLst>
        </xdr:cNvPr>
        <xdr:cNvSpPr/>
      </xdr:nvSpPr>
      <xdr:spPr bwMode="auto">
        <a:xfrm>
          <a:off x="7315200" y="307041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145</xdr:row>
      <xdr:rowOff>119379</xdr:rowOff>
    </xdr:from>
    <xdr:to>
      <xdr:col>11</xdr:col>
      <xdr:colOff>63500</xdr:colOff>
      <xdr:row>145</xdr:row>
      <xdr:rowOff>182879</xdr:rowOff>
    </xdr:to>
    <xdr:sp macro="" textlink="">
      <xdr:nvSpPr>
        <xdr:cNvPr id="734" name="nuNumber: 748" hidden="1">
          <a:extLst>
            <a:ext uri="{FF2B5EF4-FFF2-40B4-BE49-F238E27FC236}">
              <a16:creationId xmlns:a16="http://schemas.microsoft.com/office/drawing/2014/main" id="{264003C9-F33C-493D-81AE-95C8256CCD08}"/>
            </a:ext>
          </a:extLst>
        </xdr:cNvPr>
        <xdr:cNvSpPr/>
      </xdr:nvSpPr>
      <xdr:spPr bwMode="auto">
        <a:xfrm>
          <a:off x="8105775" y="307041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145</xdr:row>
      <xdr:rowOff>119379</xdr:rowOff>
    </xdr:from>
    <xdr:to>
      <xdr:col>12</xdr:col>
      <xdr:colOff>63500</xdr:colOff>
      <xdr:row>145</xdr:row>
      <xdr:rowOff>182879</xdr:rowOff>
    </xdr:to>
    <xdr:sp macro="" textlink="">
      <xdr:nvSpPr>
        <xdr:cNvPr id="735" name="nuNumber: 749" hidden="1">
          <a:extLst>
            <a:ext uri="{FF2B5EF4-FFF2-40B4-BE49-F238E27FC236}">
              <a16:creationId xmlns:a16="http://schemas.microsoft.com/office/drawing/2014/main" id="{368BB423-A805-408E-AD93-94DCF85E6C38}"/>
            </a:ext>
          </a:extLst>
        </xdr:cNvPr>
        <xdr:cNvSpPr/>
      </xdr:nvSpPr>
      <xdr:spPr bwMode="auto">
        <a:xfrm>
          <a:off x="8972550" y="307041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145</xdr:row>
      <xdr:rowOff>119379</xdr:rowOff>
    </xdr:from>
    <xdr:to>
      <xdr:col>13</xdr:col>
      <xdr:colOff>63500</xdr:colOff>
      <xdr:row>145</xdr:row>
      <xdr:rowOff>182879</xdr:rowOff>
    </xdr:to>
    <xdr:sp macro="" textlink="">
      <xdr:nvSpPr>
        <xdr:cNvPr id="736" name="nuNumber: 750" hidden="1">
          <a:extLst>
            <a:ext uri="{FF2B5EF4-FFF2-40B4-BE49-F238E27FC236}">
              <a16:creationId xmlns:a16="http://schemas.microsoft.com/office/drawing/2014/main" id="{D59B3B4A-585A-42E6-86EA-0273971E1BA7}"/>
            </a:ext>
          </a:extLst>
        </xdr:cNvPr>
        <xdr:cNvSpPr/>
      </xdr:nvSpPr>
      <xdr:spPr bwMode="auto">
        <a:xfrm>
          <a:off x="9753600" y="307041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145</xdr:row>
      <xdr:rowOff>119379</xdr:rowOff>
    </xdr:from>
    <xdr:to>
      <xdr:col>14</xdr:col>
      <xdr:colOff>63500</xdr:colOff>
      <xdr:row>145</xdr:row>
      <xdr:rowOff>182879</xdr:rowOff>
    </xdr:to>
    <xdr:sp macro="" textlink="">
      <xdr:nvSpPr>
        <xdr:cNvPr id="737" name="nuNumber: 751" hidden="1">
          <a:extLst>
            <a:ext uri="{FF2B5EF4-FFF2-40B4-BE49-F238E27FC236}">
              <a16:creationId xmlns:a16="http://schemas.microsoft.com/office/drawing/2014/main" id="{670A51FB-6832-44BE-BE89-C95D60966DB2}"/>
            </a:ext>
          </a:extLst>
        </xdr:cNvPr>
        <xdr:cNvSpPr/>
      </xdr:nvSpPr>
      <xdr:spPr bwMode="auto">
        <a:xfrm>
          <a:off x="10515600" y="307041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145</xdr:row>
      <xdr:rowOff>119379</xdr:rowOff>
    </xdr:from>
    <xdr:to>
      <xdr:col>15</xdr:col>
      <xdr:colOff>63500</xdr:colOff>
      <xdr:row>145</xdr:row>
      <xdr:rowOff>182879</xdr:rowOff>
    </xdr:to>
    <xdr:sp macro="" textlink="">
      <xdr:nvSpPr>
        <xdr:cNvPr id="738" name="nuNumber: 752" hidden="1">
          <a:extLst>
            <a:ext uri="{FF2B5EF4-FFF2-40B4-BE49-F238E27FC236}">
              <a16:creationId xmlns:a16="http://schemas.microsoft.com/office/drawing/2014/main" id="{DDDC6075-B538-4070-AFEF-7257DBA88959}"/>
            </a:ext>
          </a:extLst>
        </xdr:cNvPr>
        <xdr:cNvSpPr/>
      </xdr:nvSpPr>
      <xdr:spPr bwMode="auto">
        <a:xfrm>
          <a:off x="11325225" y="307041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145</xdr:row>
      <xdr:rowOff>119379</xdr:rowOff>
    </xdr:from>
    <xdr:to>
      <xdr:col>16</xdr:col>
      <xdr:colOff>63500</xdr:colOff>
      <xdr:row>145</xdr:row>
      <xdr:rowOff>182879</xdr:rowOff>
    </xdr:to>
    <xdr:sp macro="" textlink="">
      <xdr:nvSpPr>
        <xdr:cNvPr id="739" name="nuNumber: 753" hidden="1">
          <a:extLst>
            <a:ext uri="{FF2B5EF4-FFF2-40B4-BE49-F238E27FC236}">
              <a16:creationId xmlns:a16="http://schemas.microsoft.com/office/drawing/2014/main" id="{579CC36B-623F-4F65-802D-AB681DE468B8}"/>
            </a:ext>
          </a:extLst>
        </xdr:cNvPr>
        <xdr:cNvSpPr/>
      </xdr:nvSpPr>
      <xdr:spPr bwMode="auto">
        <a:xfrm>
          <a:off x="12106275" y="307041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145</xdr:row>
      <xdr:rowOff>119379</xdr:rowOff>
    </xdr:from>
    <xdr:to>
      <xdr:col>17</xdr:col>
      <xdr:colOff>63500</xdr:colOff>
      <xdr:row>145</xdr:row>
      <xdr:rowOff>182879</xdr:rowOff>
    </xdr:to>
    <xdr:sp macro="" textlink="">
      <xdr:nvSpPr>
        <xdr:cNvPr id="740" name="nuNumber: 754" hidden="1">
          <a:extLst>
            <a:ext uri="{FF2B5EF4-FFF2-40B4-BE49-F238E27FC236}">
              <a16:creationId xmlns:a16="http://schemas.microsoft.com/office/drawing/2014/main" id="{CFE440CD-11E2-4A03-ACDA-09C0BFBD08F0}"/>
            </a:ext>
          </a:extLst>
        </xdr:cNvPr>
        <xdr:cNvSpPr/>
      </xdr:nvSpPr>
      <xdr:spPr bwMode="auto">
        <a:xfrm>
          <a:off x="12887325" y="307041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145</xdr:row>
      <xdr:rowOff>119379</xdr:rowOff>
    </xdr:from>
    <xdr:to>
      <xdr:col>18</xdr:col>
      <xdr:colOff>63499</xdr:colOff>
      <xdr:row>145</xdr:row>
      <xdr:rowOff>182879</xdr:rowOff>
    </xdr:to>
    <xdr:sp macro="" textlink="">
      <xdr:nvSpPr>
        <xdr:cNvPr id="741" name="nuNumber: 755" hidden="1">
          <a:extLst>
            <a:ext uri="{FF2B5EF4-FFF2-40B4-BE49-F238E27FC236}">
              <a16:creationId xmlns:a16="http://schemas.microsoft.com/office/drawing/2014/main" id="{16ABA57E-CCBE-4096-9F1F-5AF656EE5D10}"/>
            </a:ext>
          </a:extLst>
        </xdr:cNvPr>
        <xdr:cNvSpPr/>
      </xdr:nvSpPr>
      <xdr:spPr bwMode="auto">
        <a:xfrm>
          <a:off x="13624559" y="30704154"/>
          <a:ext cx="5969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145</xdr:row>
      <xdr:rowOff>119379</xdr:rowOff>
    </xdr:from>
    <xdr:to>
      <xdr:col>19</xdr:col>
      <xdr:colOff>63500</xdr:colOff>
      <xdr:row>145</xdr:row>
      <xdr:rowOff>182879</xdr:rowOff>
    </xdr:to>
    <xdr:sp macro="" textlink="">
      <xdr:nvSpPr>
        <xdr:cNvPr id="742" name="nuNumber: 756" hidden="1">
          <a:extLst>
            <a:ext uri="{FF2B5EF4-FFF2-40B4-BE49-F238E27FC236}">
              <a16:creationId xmlns:a16="http://schemas.microsoft.com/office/drawing/2014/main" id="{E523A311-1357-4B17-97D9-96665503348B}"/>
            </a:ext>
          </a:extLst>
        </xdr:cNvPr>
        <xdr:cNvSpPr/>
      </xdr:nvSpPr>
      <xdr:spPr bwMode="auto">
        <a:xfrm>
          <a:off x="14382750" y="307041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145</xdr:row>
      <xdr:rowOff>119379</xdr:rowOff>
    </xdr:from>
    <xdr:to>
      <xdr:col>20</xdr:col>
      <xdr:colOff>63500</xdr:colOff>
      <xdr:row>145</xdr:row>
      <xdr:rowOff>182879</xdr:rowOff>
    </xdr:to>
    <xdr:sp macro="" textlink="">
      <xdr:nvSpPr>
        <xdr:cNvPr id="743" name="nuNumber: 757" hidden="1">
          <a:extLst>
            <a:ext uri="{FF2B5EF4-FFF2-40B4-BE49-F238E27FC236}">
              <a16:creationId xmlns:a16="http://schemas.microsoft.com/office/drawing/2014/main" id="{5892EFA6-05D6-41C9-B4C1-9F9CECEB3687}"/>
            </a:ext>
          </a:extLst>
        </xdr:cNvPr>
        <xdr:cNvSpPr/>
      </xdr:nvSpPr>
      <xdr:spPr bwMode="auto">
        <a:xfrm>
          <a:off x="15135225" y="307041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145</xdr:row>
      <xdr:rowOff>119379</xdr:rowOff>
    </xdr:from>
    <xdr:to>
      <xdr:col>21</xdr:col>
      <xdr:colOff>63500</xdr:colOff>
      <xdr:row>145</xdr:row>
      <xdr:rowOff>182879</xdr:rowOff>
    </xdr:to>
    <xdr:sp macro="" textlink="">
      <xdr:nvSpPr>
        <xdr:cNvPr id="744" name="nuNumber: 758" hidden="1">
          <a:extLst>
            <a:ext uri="{FF2B5EF4-FFF2-40B4-BE49-F238E27FC236}">
              <a16:creationId xmlns:a16="http://schemas.microsoft.com/office/drawing/2014/main" id="{246CE96C-9748-4472-ADEA-7CF568FC2F3A}"/>
            </a:ext>
          </a:extLst>
        </xdr:cNvPr>
        <xdr:cNvSpPr/>
      </xdr:nvSpPr>
      <xdr:spPr bwMode="auto">
        <a:xfrm>
          <a:off x="15849600" y="307041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146</xdr:row>
      <xdr:rowOff>119381</xdr:rowOff>
    </xdr:from>
    <xdr:to>
      <xdr:col>10</xdr:col>
      <xdr:colOff>63500</xdr:colOff>
      <xdr:row>147</xdr:row>
      <xdr:rowOff>1</xdr:rowOff>
    </xdr:to>
    <xdr:sp macro="" textlink="">
      <xdr:nvSpPr>
        <xdr:cNvPr id="745" name="nuNumber: 759" hidden="1">
          <a:extLst>
            <a:ext uri="{FF2B5EF4-FFF2-40B4-BE49-F238E27FC236}">
              <a16:creationId xmlns:a16="http://schemas.microsoft.com/office/drawing/2014/main" id="{EA470CA6-0984-40CB-8421-D0D0DAC9CC1F}"/>
            </a:ext>
          </a:extLst>
        </xdr:cNvPr>
        <xdr:cNvSpPr/>
      </xdr:nvSpPr>
      <xdr:spPr bwMode="auto">
        <a:xfrm>
          <a:off x="7315200" y="309137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146</xdr:row>
      <xdr:rowOff>119381</xdr:rowOff>
    </xdr:from>
    <xdr:to>
      <xdr:col>11</xdr:col>
      <xdr:colOff>63500</xdr:colOff>
      <xdr:row>147</xdr:row>
      <xdr:rowOff>1</xdr:rowOff>
    </xdr:to>
    <xdr:sp macro="" textlink="">
      <xdr:nvSpPr>
        <xdr:cNvPr id="746" name="nuNumber: 760" hidden="1">
          <a:extLst>
            <a:ext uri="{FF2B5EF4-FFF2-40B4-BE49-F238E27FC236}">
              <a16:creationId xmlns:a16="http://schemas.microsoft.com/office/drawing/2014/main" id="{E270D64A-3E5F-4FF7-BCFE-82A20BECA3A1}"/>
            </a:ext>
          </a:extLst>
        </xdr:cNvPr>
        <xdr:cNvSpPr/>
      </xdr:nvSpPr>
      <xdr:spPr bwMode="auto">
        <a:xfrm>
          <a:off x="8105775" y="309137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146</xdr:row>
      <xdr:rowOff>119381</xdr:rowOff>
    </xdr:from>
    <xdr:to>
      <xdr:col>12</xdr:col>
      <xdr:colOff>63500</xdr:colOff>
      <xdr:row>147</xdr:row>
      <xdr:rowOff>1</xdr:rowOff>
    </xdr:to>
    <xdr:sp macro="" textlink="">
      <xdr:nvSpPr>
        <xdr:cNvPr id="747" name="nuNumber: 761" hidden="1">
          <a:extLst>
            <a:ext uri="{FF2B5EF4-FFF2-40B4-BE49-F238E27FC236}">
              <a16:creationId xmlns:a16="http://schemas.microsoft.com/office/drawing/2014/main" id="{92E94EA2-1BCE-4CED-91EC-F6CF40784DB7}"/>
            </a:ext>
          </a:extLst>
        </xdr:cNvPr>
        <xdr:cNvSpPr/>
      </xdr:nvSpPr>
      <xdr:spPr bwMode="auto">
        <a:xfrm>
          <a:off x="8972550" y="309137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146</xdr:row>
      <xdr:rowOff>119381</xdr:rowOff>
    </xdr:from>
    <xdr:to>
      <xdr:col>13</xdr:col>
      <xdr:colOff>63500</xdr:colOff>
      <xdr:row>147</xdr:row>
      <xdr:rowOff>1</xdr:rowOff>
    </xdr:to>
    <xdr:sp macro="" textlink="">
      <xdr:nvSpPr>
        <xdr:cNvPr id="748" name="nuNumber: 762" hidden="1">
          <a:extLst>
            <a:ext uri="{FF2B5EF4-FFF2-40B4-BE49-F238E27FC236}">
              <a16:creationId xmlns:a16="http://schemas.microsoft.com/office/drawing/2014/main" id="{E98FCC3A-FB8F-4100-83AB-0B7ACFBF94B9}"/>
            </a:ext>
          </a:extLst>
        </xdr:cNvPr>
        <xdr:cNvSpPr/>
      </xdr:nvSpPr>
      <xdr:spPr bwMode="auto">
        <a:xfrm>
          <a:off x="9753600" y="309137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146</xdr:row>
      <xdr:rowOff>119381</xdr:rowOff>
    </xdr:from>
    <xdr:to>
      <xdr:col>14</xdr:col>
      <xdr:colOff>63500</xdr:colOff>
      <xdr:row>147</xdr:row>
      <xdr:rowOff>1</xdr:rowOff>
    </xdr:to>
    <xdr:sp macro="" textlink="">
      <xdr:nvSpPr>
        <xdr:cNvPr id="749" name="nuNumber: 763" hidden="1">
          <a:extLst>
            <a:ext uri="{FF2B5EF4-FFF2-40B4-BE49-F238E27FC236}">
              <a16:creationId xmlns:a16="http://schemas.microsoft.com/office/drawing/2014/main" id="{DE2EC798-65F5-4DE7-B51A-4C17B5D3F067}"/>
            </a:ext>
          </a:extLst>
        </xdr:cNvPr>
        <xdr:cNvSpPr/>
      </xdr:nvSpPr>
      <xdr:spPr bwMode="auto">
        <a:xfrm>
          <a:off x="10515600" y="309137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146</xdr:row>
      <xdr:rowOff>119381</xdr:rowOff>
    </xdr:from>
    <xdr:to>
      <xdr:col>15</xdr:col>
      <xdr:colOff>63500</xdr:colOff>
      <xdr:row>147</xdr:row>
      <xdr:rowOff>1</xdr:rowOff>
    </xdr:to>
    <xdr:sp macro="" textlink="">
      <xdr:nvSpPr>
        <xdr:cNvPr id="750" name="nuNumber: 764" hidden="1">
          <a:extLst>
            <a:ext uri="{FF2B5EF4-FFF2-40B4-BE49-F238E27FC236}">
              <a16:creationId xmlns:a16="http://schemas.microsoft.com/office/drawing/2014/main" id="{B7AF05A7-BD02-40BF-90A4-A2880DE7BF7A}"/>
            </a:ext>
          </a:extLst>
        </xdr:cNvPr>
        <xdr:cNvSpPr/>
      </xdr:nvSpPr>
      <xdr:spPr bwMode="auto">
        <a:xfrm>
          <a:off x="11325225" y="309137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146</xdr:row>
      <xdr:rowOff>119381</xdr:rowOff>
    </xdr:from>
    <xdr:to>
      <xdr:col>16</xdr:col>
      <xdr:colOff>63500</xdr:colOff>
      <xdr:row>147</xdr:row>
      <xdr:rowOff>1</xdr:rowOff>
    </xdr:to>
    <xdr:sp macro="" textlink="">
      <xdr:nvSpPr>
        <xdr:cNvPr id="751" name="nuNumber: 765" hidden="1">
          <a:extLst>
            <a:ext uri="{FF2B5EF4-FFF2-40B4-BE49-F238E27FC236}">
              <a16:creationId xmlns:a16="http://schemas.microsoft.com/office/drawing/2014/main" id="{BF5AE69D-E976-4823-96A2-B24F48BEE429}"/>
            </a:ext>
          </a:extLst>
        </xdr:cNvPr>
        <xdr:cNvSpPr/>
      </xdr:nvSpPr>
      <xdr:spPr bwMode="auto">
        <a:xfrm>
          <a:off x="12106275" y="309137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146</xdr:row>
      <xdr:rowOff>119381</xdr:rowOff>
    </xdr:from>
    <xdr:to>
      <xdr:col>17</xdr:col>
      <xdr:colOff>63500</xdr:colOff>
      <xdr:row>147</xdr:row>
      <xdr:rowOff>1</xdr:rowOff>
    </xdr:to>
    <xdr:sp macro="" textlink="">
      <xdr:nvSpPr>
        <xdr:cNvPr id="752" name="nuNumber: 766" hidden="1">
          <a:extLst>
            <a:ext uri="{FF2B5EF4-FFF2-40B4-BE49-F238E27FC236}">
              <a16:creationId xmlns:a16="http://schemas.microsoft.com/office/drawing/2014/main" id="{18FC9C9D-6307-4033-B4E2-B49CDEB6F8F7}"/>
            </a:ext>
          </a:extLst>
        </xdr:cNvPr>
        <xdr:cNvSpPr/>
      </xdr:nvSpPr>
      <xdr:spPr bwMode="auto">
        <a:xfrm>
          <a:off x="12887325" y="309137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146</xdr:row>
      <xdr:rowOff>119381</xdr:rowOff>
    </xdr:from>
    <xdr:to>
      <xdr:col>18</xdr:col>
      <xdr:colOff>63499</xdr:colOff>
      <xdr:row>147</xdr:row>
      <xdr:rowOff>1</xdr:rowOff>
    </xdr:to>
    <xdr:sp macro="" textlink="">
      <xdr:nvSpPr>
        <xdr:cNvPr id="753" name="nuNumber: 767" hidden="1">
          <a:extLst>
            <a:ext uri="{FF2B5EF4-FFF2-40B4-BE49-F238E27FC236}">
              <a16:creationId xmlns:a16="http://schemas.microsoft.com/office/drawing/2014/main" id="{F0C88DAE-F25F-4881-BE64-0A1A5F4F1C9C}"/>
            </a:ext>
          </a:extLst>
        </xdr:cNvPr>
        <xdr:cNvSpPr/>
      </xdr:nvSpPr>
      <xdr:spPr bwMode="auto">
        <a:xfrm>
          <a:off x="13624559" y="30913706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146</xdr:row>
      <xdr:rowOff>119381</xdr:rowOff>
    </xdr:from>
    <xdr:to>
      <xdr:col>19</xdr:col>
      <xdr:colOff>63500</xdr:colOff>
      <xdr:row>147</xdr:row>
      <xdr:rowOff>1</xdr:rowOff>
    </xdr:to>
    <xdr:sp macro="" textlink="">
      <xdr:nvSpPr>
        <xdr:cNvPr id="754" name="nuNumber: 768" hidden="1">
          <a:extLst>
            <a:ext uri="{FF2B5EF4-FFF2-40B4-BE49-F238E27FC236}">
              <a16:creationId xmlns:a16="http://schemas.microsoft.com/office/drawing/2014/main" id="{A57400DF-3256-4B6D-A58B-8FCFBD36A422}"/>
            </a:ext>
          </a:extLst>
        </xdr:cNvPr>
        <xdr:cNvSpPr/>
      </xdr:nvSpPr>
      <xdr:spPr bwMode="auto">
        <a:xfrm>
          <a:off x="14382750" y="309137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146</xdr:row>
      <xdr:rowOff>119381</xdr:rowOff>
    </xdr:from>
    <xdr:to>
      <xdr:col>20</xdr:col>
      <xdr:colOff>63500</xdr:colOff>
      <xdr:row>147</xdr:row>
      <xdr:rowOff>1</xdr:rowOff>
    </xdr:to>
    <xdr:sp macro="" textlink="">
      <xdr:nvSpPr>
        <xdr:cNvPr id="755" name="nuNumber: 769" hidden="1">
          <a:extLst>
            <a:ext uri="{FF2B5EF4-FFF2-40B4-BE49-F238E27FC236}">
              <a16:creationId xmlns:a16="http://schemas.microsoft.com/office/drawing/2014/main" id="{C3FA08D7-47F8-436C-80A1-97E78CEDBA4F}"/>
            </a:ext>
          </a:extLst>
        </xdr:cNvPr>
        <xdr:cNvSpPr/>
      </xdr:nvSpPr>
      <xdr:spPr bwMode="auto">
        <a:xfrm>
          <a:off x="15135225" y="309137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146</xdr:row>
      <xdr:rowOff>119381</xdr:rowOff>
    </xdr:from>
    <xdr:to>
      <xdr:col>21</xdr:col>
      <xdr:colOff>63500</xdr:colOff>
      <xdr:row>147</xdr:row>
      <xdr:rowOff>1</xdr:rowOff>
    </xdr:to>
    <xdr:sp macro="" textlink="">
      <xdr:nvSpPr>
        <xdr:cNvPr id="756" name="nuNumber: 770" hidden="1">
          <a:extLst>
            <a:ext uri="{FF2B5EF4-FFF2-40B4-BE49-F238E27FC236}">
              <a16:creationId xmlns:a16="http://schemas.microsoft.com/office/drawing/2014/main" id="{80765D0B-45F9-471C-AF4F-19D261CC52BF}"/>
            </a:ext>
          </a:extLst>
        </xdr:cNvPr>
        <xdr:cNvSpPr/>
      </xdr:nvSpPr>
      <xdr:spPr bwMode="auto">
        <a:xfrm>
          <a:off x="15849600" y="309137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148</xdr:row>
      <xdr:rowOff>119381</xdr:rowOff>
    </xdr:from>
    <xdr:to>
      <xdr:col>10</xdr:col>
      <xdr:colOff>63500</xdr:colOff>
      <xdr:row>149</xdr:row>
      <xdr:rowOff>1</xdr:rowOff>
    </xdr:to>
    <xdr:sp macro="" textlink="">
      <xdr:nvSpPr>
        <xdr:cNvPr id="757" name="nuNumber: 771" hidden="1">
          <a:extLst>
            <a:ext uri="{FF2B5EF4-FFF2-40B4-BE49-F238E27FC236}">
              <a16:creationId xmlns:a16="http://schemas.microsoft.com/office/drawing/2014/main" id="{38ACF377-6600-49D6-BFC0-746F2047E1BB}"/>
            </a:ext>
          </a:extLst>
        </xdr:cNvPr>
        <xdr:cNvSpPr/>
      </xdr:nvSpPr>
      <xdr:spPr bwMode="auto">
        <a:xfrm>
          <a:off x="7315200" y="313328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148</xdr:row>
      <xdr:rowOff>119381</xdr:rowOff>
    </xdr:from>
    <xdr:to>
      <xdr:col>12</xdr:col>
      <xdr:colOff>63500</xdr:colOff>
      <xdr:row>149</xdr:row>
      <xdr:rowOff>1</xdr:rowOff>
    </xdr:to>
    <xdr:sp macro="" textlink="">
      <xdr:nvSpPr>
        <xdr:cNvPr id="758" name="nuNumber: 772" hidden="1">
          <a:extLst>
            <a:ext uri="{FF2B5EF4-FFF2-40B4-BE49-F238E27FC236}">
              <a16:creationId xmlns:a16="http://schemas.microsoft.com/office/drawing/2014/main" id="{65009396-70BC-4DF9-BBC2-18F618E84A01}"/>
            </a:ext>
          </a:extLst>
        </xdr:cNvPr>
        <xdr:cNvSpPr/>
      </xdr:nvSpPr>
      <xdr:spPr bwMode="auto">
        <a:xfrm>
          <a:off x="8972550" y="313328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148</xdr:row>
      <xdr:rowOff>119381</xdr:rowOff>
    </xdr:from>
    <xdr:to>
      <xdr:col>13</xdr:col>
      <xdr:colOff>63500</xdr:colOff>
      <xdr:row>149</xdr:row>
      <xdr:rowOff>1</xdr:rowOff>
    </xdr:to>
    <xdr:sp macro="" textlink="">
      <xdr:nvSpPr>
        <xdr:cNvPr id="759" name="nuNumber: 773" hidden="1">
          <a:extLst>
            <a:ext uri="{FF2B5EF4-FFF2-40B4-BE49-F238E27FC236}">
              <a16:creationId xmlns:a16="http://schemas.microsoft.com/office/drawing/2014/main" id="{E8550572-E8AD-48DB-AD15-D5810CFE03C5}"/>
            </a:ext>
          </a:extLst>
        </xdr:cNvPr>
        <xdr:cNvSpPr/>
      </xdr:nvSpPr>
      <xdr:spPr bwMode="auto">
        <a:xfrm>
          <a:off x="9753600" y="313328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148</xdr:row>
      <xdr:rowOff>119381</xdr:rowOff>
    </xdr:from>
    <xdr:to>
      <xdr:col>14</xdr:col>
      <xdr:colOff>63500</xdr:colOff>
      <xdr:row>149</xdr:row>
      <xdr:rowOff>1</xdr:rowOff>
    </xdr:to>
    <xdr:sp macro="" textlink="">
      <xdr:nvSpPr>
        <xdr:cNvPr id="760" name="nuNumber: 774" hidden="1">
          <a:extLst>
            <a:ext uri="{FF2B5EF4-FFF2-40B4-BE49-F238E27FC236}">
              <a16:creationId xmlns:a16="http://schemas.microsoft.com/office/drawing/2014/main" id="{5DD48669-29C7-4150-81FE-8E859C9FCA19}"/>
            </a:ext>
          </a:extLst>
        </xdr:cNvPr>
        <xdr:cNvSpPr/>
      </xdr:nvSpPr>
      <xdr:spPr bwMode="auto">
        <a:xfrm>
          <a:off x="10515600" y="313328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148</xdr:row>
      <xdr:rowOff>119381</xdr:rowOff>
    </xdr:from>
    <xdr:to>
      <xdr:col>15</xdr:col>
      <xdr:colOff>63500</xdr:colOff>
      <xdr:row>149</xdr:row>
      <xdr:rowOff>1</xdr:rowOff>
    </xdr:to>
    <xdr:sp macro="" textlink="">
      <xdr:nvSpPr>
        <xdr:cNvPr id="761" name="nuNumber: 775" hidden="1">
          <a:extLst>
            <a:ext uri="{FF2B5EF4-FFF2-40B4-BE49-F238E27FC236}">
              <a16:creationId xmlns:a16="http://schemas.microsoft.com/office/drawing/2014/main" id="{F94ABEF9-538A-4409-89C3-82FB7078CC20}"/>
            </a:ext>
          </a:extLst>
        </xdr:cNvPr>
        <xdr:cNvSpPr/>
      </xdr:nvSpPr>
      <xdr:spPr bwMode="auto">
        <a:xfrm>
          <a:off x="11325225" y="313328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148</xdr:row>
      <xdr:rowOff>119381</xdr:rowOff>
    </xdr:from>
    <xdr:to>
      <xdr:col>16</xdr:col>
      <xdr:colOff>63500</xdr:colOff>
      <xdr:row>149</xdr:row>
      <xdr:rowOff>1</xdr:rowOff>
    </xdr:to>
    <xdr:sp macro="" textlink="">
      <xdr:nvSpPr>
        <xdr:cNvPr id="762" name="nuNumber: 776" hidden="1">
          <a:extLst>
            <a:ext uri="{FF2B5EF4-FFF2-40B4-BE49-F238E27FC236}">
              <a16:creationId xmlns:a16="http://schemas.microsoft.com/office/drawing/2014/main" id="{A95B1C97-CBF6-44F1-83B9-06C6383822B9}"/>
            </a:ext>
          </a:extLst>
        </xdr:cNvPr>
        <xdr:cNvSpPr/>
      </xdr:nvSpPr>
      <xdr:spPr bwMode="auto">
        <a:xfrm>
          <a:off x="12106275" y="313328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148</xdr:row>
      <xdr:rowOff>119381</xdr:rowOff>
    </xdr:from>
    <xdr:to>
      <xdr:col>17</xdr:col>
      <xdr:colOff>63500</xdr:colOff>
      <xdr:row>149</xdr:row>
      <xdr:rowOff>1</xdr:rowOff>
    </xdr:to>
    <xdr:sp macro="" textlink="">
      <xdr:nvSpPr>
        <xdr:cNvPr id="763" name="nuNumber: 777" hidden="1">
          <a:extLst>
            <a:ext uri="{FF2B5EF4-FFF2-40B4-BE49-F238E27FC236}">
              <a16:creationId xmlns:a16="http://schemas.microsoft.com/office/drawing/2014/main" id="{384D33A3-3E20-4C7F-B77C-A5CD335B792A}"/>
            </a:ext>
          </a:extLst>
        </xdr:cNvPr>
        <xdr:cNvSpPr/>
      </xdr:nvSpPr>
      <xdr:spPr bwMode="auto">
        <a:xfrm>
          <a:off x="12887325" y="313328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148</xdr:row>
      <xdr:rowOff>119381</xdr:rowOff>
    </xdr:from>
    <xdr:to>
      <xdr:col>18</xdr:col>
      <xdr:colOff>63499</xdr:colOff>
      <xdr:row>149</xdr:row>
      <xdr:rowOff>1</xdr:rowOff>
    </xdr:to>
    <xdr:sp macro="" textlink="">
      <xdr:nvSpPr>
        <xdr:cNvPr id="764" name="nuNumber: 778" hidden="1">
          <a:extLst>
            <a:ext uri="{FF2B5EF4-FFF2-40B4-BE49-F238E27FC236}">
              <a16:creationId xmlns:a16="http://schemas.microsoft.com/office/drawing/2014/main" id="{214FD5F5-5F99-453B-8E85-E614E804D22B}"/>
            </a:ext>
          </a:extLst>
        </xdr:cNvPr>
        <xdr:cNvSpPr/>
      </xdr:nvSpPr>
      <xdr:spPr bwMode="auto">
        <a:xfrm>
          <a:off x="13624559" y="31332806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148</xdr:row>
      <xdr:rowOff>119381</xdr:rowOff>
    </xdr:from>
    <xdr:to>
      <xdr:col>19</xdr:col>
      <xdr:colOff>63500</xdr:colOff>
      <xdr:row>149</xdr:row>
      <xdr:rowOff>1</xdr:rowOff>
    </xdr:to>
    <xdr:sp macro="" textlink="">
      <xdr:nvSpPr>
        <xdr:cNvPr id="765" name="nuNumber: 779" hidden="1">
          <a:extLst>
            <a:ext uri="{FF2B5EF4-FFF2-40B4-BE49-F238E27FC236}">
              <a16:creationId xmlns:a16="http://schemas.microsoft.com/office/drawing/2014/main" id="{5683716D-C298-4549-AF91-2EE8DB0DC2E4}"/>
            </a:ext>
          </a:extLst>
        </xdr:cNvPr>
        <xdr:cNvSpPr/>
      </xdr:nvSpPr>
      <xdr:spPr bwMode="auto">
        <a:xfrm>
          <a:off x="14382750" y="313328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148</xdr:row>
      <xdr:rowOff>119381</xdr:rowOff>
    </xdr:from>
    <xdr:to>
      <xdr:col>20</xdr:col>
      <xdr:colOff>63500</xdr:colOff>
      <xdr:row>149</xdr:row>
      <xdr:rowOff>1</xdr:rowOff>
    </xdr:to>
    <xdr:sp macro="" textlink="">
      <xdr:nvSpPr>
        <xdr:cNvPr id="766" name="nuNumber: 780" hidden="1">
          <a:extLst>
            <a:ext uri="{FF2B5EF4-FFF2-40B4-BE49-F238E27FC236}">
              <a16:creationId xmlns:a16="http://schemas.microsoft.com/office/drawing/2014/main" id="{60A46B4A-FE11-4CF9-B2C7-83387F2FC739}"/>
            </a:ext>
          </a:extLst>
        </xdr:cNvPr>
        <xdr:cNvSpPr/>
      </xdr:nvSpPr>
      <xdr:spPr bwMode="auto">
        <a:xfrm>
          <a:off x="15135225" y="313328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149</xdr:row>
      <xdr:rowOff>119380</xdr:rowOff>
    </xdr:from>
    <xdr:to>
      <xdr:col>10</xdr:col>
      <xdr:colOff>63500</xdr:colOff>
      <xdr:row>150</xdr:row>
      <xdr:rowOff>0</xdr:rowOff>
    </xdr:to>
    <xdr:sp macro="" textlink="">
      <xdr:nvSpPr>
        <xdr:cNvPr id="767" name="nuNumber: 781" hidden="1">
          <a:extLst>
            <a:ext uri="{FF2B5EF4-FFF2-40B4-BE49-F238E27FC236}">
              <a16:creationId xmlns:a16="http://schemas.microsoft.com/office/drawing/2014/main" id="{76374AFD-6D8E-4BAF-B2B4-95103B238D62}"/>
            </a:ext>
          </a:extLst>
        </xdr:cNvPr>
        <xdr:cNvSpPr/>
      </xdr:nvSpPr>
      <xdr:spPr bwMode="auto">
        <a:xfrm>
          <a:off x="7315200" y="315423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149</xdr:row>
      <xdr:rowOff>119380</xdr:rowOff>
    </xdr:from>
    <xdr:to>
      <xdr:col>11</xdr:col>
      <xdr:colOff>63500</xdr:colOff>
      <xdr:row>150</xdr:row>
      <xdr:rowOff>0</xdr:rowOff>
    </xdr:to>
    <xdr:sp macro="" textlink="">
      <xdr:nvSpPr>
        <xdr:cNvPr id="768" name="nuNumber: 782" hidden="1">
          <a:extLst>
            <a:ext uri="{FF2B5EF4-FFF2-40B4-BE49-F238E27FC236}">
              <a16:creationId xmlns:a16="http://schemas.microsoft.com/office/drawing/2014/main" id="{6B825B96-5B45-483D-B053-ACF4ED3ABEEA}"/>
            </a:ext>
          </a:extLst>
        </xdr:cNvPr>
        <xdr:cNvSpPr/>
      </xdr:nvSpPr>
      <xdr:spPr bwMode="auto">
        <a:xfrm>
          <a:off x="8105775" y="315423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149</xdr:row>
      <xdr:rowOff>119380</xdr:rowOff>
    </xdr:from>
    <xdr:to>
      <xdr:col>12</xdr:col>
      <xdr:colOff>63500</xdr:colOff>
      <xdr:row>150</xdr:row>
      <xdr:rowOff>0</xdr:rowOff>
    </xdr:to>
    <xdr:sp macro="" textlink="">
      <xdr:nvSpPr>
        <xdr:cNvPr id="769" name="nuNumber: 783" hidden="1">
          <a:extLst>
            <a:ext uri="{FF2B5EF4-FFF2-40B4-BE49-F238E27FC236}">
              <a16:creationId xmlns:a16="http://schemas.microsoft.com/office/drawing/2014/main" id="{7D97A1AC-0A3E-4635-BC8A-B0EBAF7E882E}"/>
            </a:ext>
          </a:extLst>
        </xdr:cNvPr>
        <xdr:cNvSpPr/>
      </xdr:nvSpPr>
      <xdr:spPr bwMode="auto">
        <a:xfrm>
          <a:off x="8972550" y="315423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149</xdr:row>
      <xdr:rowOff>119380</xdr:rowOff>
    </xdr:from>
    <xdr:to>
      <xdr:col>13</xdr:col>
      <xdr:colOff>63500</xdr:colOff>
      <xdr:row>150</xdr:row>
      <xdr:rowOff>0</xdr:rowOff>
    </xdr:to>
    <xdr:sp macro="" textlink="">
      <xdr:nvSpPr>
        <xdr:cNvPr id="770" name="nuNumber: 784" hidden="1">
          <a:extLst>
            <a:ext uri="{FF2B5EF4-FFF2-40B4-BE49-F238E27FC236}">
              <a16:creationId xmlns:a16="http://schemas.microsoft.com/office/drawing/2014/main" id="{A1A569E8-CE70-4374-9ED6-57BE72BCF6AF}"/>
            </a:ext>
          </a:extLst>
        </xdr:cNvPr>
        <xdr:cNvSpPr/>
      </xdr:nvSpPr>
      <xdr:spPr bwMode="auto">
        <a:xfrm>
          <a:off x="9753600" y="315423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149</xdr:row>
      <xdr:rowOff>119380</xdr:rowOff>
    </xdr:from>
    <xdr:to>
      <xdr:col>14</xdr:col>
      <xdr:colOff>63500</xdr:colOff>
      <xdr:row>150</xdr:row>
      <xdr:rowOff>0</xdr:rowOff>
    </xdr:to>
    <xdr:sp macro="" textlink="">
      <xdr:nvSpPr>
        <xdr:cNvPr id="771" name="nuNumber: 785" hidden="1">
          <a:extLst>
            <a:ext uri="{FF2B5EF4-FFF2-40B4-BE49-F238E27FC236}">
              <a16:creationId xmlns:a16="http://schemas.microsoft.com/office/drawing/2014/main" id="{83490B4E-CA08-453D-99B5-7D9FEDBE2143}"/>
            </a:ext>
          </a:extLst>
        </xdr:cNvPr>
        <xdr:cNvSpPr/>
      </xdr:nvSpPr>
      <xdr:spPr bwMode="auto">
        <a:xfrm>
          <a:off x="10515600" y="315423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149</xdr:row>
      <xdr:rowOff>119380</xdr:rowOff>
    </xdr:from>
    <xdr:to>
      <xdr:col>15</xdr:col>
      <xdr:colOff>63500</xdr:colOff>
      <xdr:row>150</xdr:row>
      <xdr:rowOff>0</xdr:rowOff>
    </xdr:to>
    <xdr:sp macro="" textlink="">
      <xdr:nvSpPr>
        <xdr:cNvPr id="772" name="nuNumber: 786" hidden="1">
          <a:extLst>
            <a:ext uri="{FF2B5EF4-FFF2-40B4-BE49-F238E27FC236}">
              <a16:creationId xmlns:a16="http://schemas.microsoft.com/office/drawing/2014/main" id="{8BEF5BF5-E626-4F1C-94BE-E446DDEA0CBE}"/>
            </a:ext>
          </a:extLst>
        </xdr:cNvPr>
        <xdr:cNvSpPr/>
      </xdr:nvSpPr>
      <xdr:spPr bwMode="auto">
        <a:xfrm>
          <a:off x="11325225" y="315423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149</xdr:row>
      <xdr:rowOff>119380</xdr:rowOff>
    </xdr:from>
    <xdr:to>
      <xdr:col>16</xdr:col>
      <xdr:colOff>63500</xdr:colOff>
      <xdr:row>150</xdr:row>
      <xdr:rowOff>0</xdr:rowOff>
    </xdr:to>
    <xdr:sp macro="" textlink="">
      <xdr:nvSpPr>
        <xdr:cNvPr id="773" name="nuNumber: 787" hidden="1">
          <a:extLst>
            <a:ext uri="{FF2B5EF4-FFF2-40B4-BE49-F238E27FC236}">
              <a16:creationId xmlns:a16="http://schemas.microsoft.com/office/drawing/2014/main" id="{84C07A69-2A2F-4662-AC78-F87AF1D80644}"/>
            </a:ext>
          </a:extLst>
        </xdr:cNvPr>
        <xdr:cNvSpPr/>
      </xdr:nvSpPr>
      <xdr:spPr bwMode="auto">
        <a:xfrm>
          <a:off x="12106275" y="315423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149</xdr:row>
      <xdr:rowOff>119380</xdr:rowOff>
    </xdr:from>
    <xdr:to>
      <xdr:col>17</xdr:col>
      <xdr:colOff>63500</xdr:colOff>
      <xdr:row>150</xdr:row>
      <xdr:rowOff>0</xdr:rowOff>
    </xdr:to>
    <xdr:sp macro="" textlink="">
      <xdr:nvSpPr>
        <xdr:cNvPr id="774" name="nuNumber: 788" hidden="1">
          <a:extLst>
            <a:ext uri="{FF2B5EF4-FFF2-40B4-BE49-F238E27FC236}">
              <a16:creationId xmlns:a16="http://schemas.microsoft.com/office/drawing/2014/main" id="{7BA04495-8469-4F65-A406-FE4B3552DAB1}"/>
            </a:ext>
          </a:extLst>
        </xdr:cNvPr>
        <xdr:cNvSpPr/>
      </xdr:nvSpPr>
      <xdr:spPr bwMode="auto">
        <a:xfrm>
          <a:off x="12887325" y="315423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149</xdr:row>
      <xdr:rowOff>119380</xdr:rowOff>
    </xdr:from>
    <xdr:to>
      <xdr:col>18</xdr:col>
      <xdr:colOff>63499</xdr:colOff>
      <xdr:row>150</xdr:row>
      <xdr:rowOff>0</xdr:rowOff>
    </xdr:to>
    <xdr:sp macro="" textlink="">
      <xdr:nvSpPr>
        <xdr:cNvPr id="775" name="nuNumber: 789" hidden="1">
          <a:extLst>
            <a:ext uri="{FF2B5EF4-FFF2-40B4-BE49-F238E27FC236}">
              <a16:creationId xmlns:a16="http://schemas.microsoft.com/office/drawing/2014/main" id="{79D9CCCF-54DC-4642-84E5-6669711FAE76}"/>
            </a:ext>
          </a:extLst>
        </xdr:cNvPr>
        <xdr:cNvSpPr/>
      </xdr:nvSpPr>
      <xdr:spPr bwMode="auto">
        <a:xfrm>
          <a:off x="13624559" y="31542355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149</xdr:row>
      <xdr:rowOff>119380</xdr:rowOff>
    </xdr:from>
    <xdr:to>
      <xdr:col>19</xdr:col>
      <xdr:colOff>63500</xdr:colOff>
      <xdr:row>150</xdr:row>
      <xdr:rowOff>0</xdr:rowOff>
    </xdr:to>
    <xdr:sp macro="" textlink="">
      <xdr:nvSpPr>
        <xdr:cNvPr id="776" name="nuNumber: 790" hidden="1">
          <a:extLst>
            <a:ext uri="{FF2B5EF4-FFF2-40B4-BE49-F238E27FC236}">
              <a16:creationId xmlns:a16="http://schemas.microsoft.com/office/drawing/2014/main" id="{1D9B88B9-55C8-4979-91FF-402D6DCD98A0}"/>
            </a:ext>
          </a:extLst>
        </xdr:cNvPr>
        <xdr:cNvSpPr/>
      </xdr:nvSpPr>
      <xdr:spPr bwMode="auto">
        <a:xfrm>
          <a:off x="14382750" y="315423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149</xdr:row>
      <xdr:rowOff>119380</xdr:rowOff>
    </xdr:from>
    <xdr:to>
      <xdr:col>20</xdr:col>
      <xdr:colOff>63500</xdr:colOff>
      <xdr:row>150</xdr:row>
      <xdr:rowOff>0</xdr:rowOff>
    </xdr:to>
    <xdr:sp macro="" textlink="">
      <xdr:nvSpPr>
        <xdr:cNvPr id="777" name="nuNumber: 791" hidden="1">
          <a:extLst>
            <a:ext uri="{FF2B5EF4-FFF2-40B4-BE49-F238E27FC236}">
              <a16:creationId xmlns:a16="http://schemas.microsoft.com/office/drawing/2014/main" id="{B7D87D2D-273A-4429-A410-111F4ACEF710}"/>
            </a:ext>
          </a:extLst>
        </xdr:cNvPr>
        <xdr:cNvSpPr/>
      </xdr:nvSpPr>
      <xdr:spPr bwMode="auto">
        <a:xfrm>
          <a:off x="15135225" y="315423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150</xdr:row>
      <xdr:rowOff>119381</xdr:rowOff>
    </xdr:from>
    <xdr:to>
      <xdr:col>8</xdr:col>
      <xdr:colOff>63500</xdr:colOff>
      <xdr:row>151</xdr:row>
      <xdr:rowOff>1</xdr:rowOff>
    </xdr:to>
    <xdr:sp macro="" textlink="">
      <xdr:nvSpPr>
        <xdr:cNvPr id="778" name="nuNumber: 807" hidden="1">
          <a:extLst>
            <a:ext uri="{FF2B5EF4-FFF2-40B4-BE49-F238E27FC236}">
              <a16:creationId xmlns:a16="http://schemas.microsoft.com/office/drawing/2014/main" id="{90C1CD46-E015-4097-8048-25245F416CE7}"/>
            </a:ext>
          </a:extLst>
        </xdr:cNvPr>
        <xdr:cNvSpPr/>
      </xdr:nvSpPr>
      <xdr:spPr bwMode="auto">
        <a:xfrm>
          <a:off x="5562600" y="317519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150</xdr:row>
      <xdr:rowOff>119381</xdr:rowOff>
    </xdr:from>
    <xdr:to>
      <xdr:col>9</xdr:col>
      <xdr:colOff>63500</xdr:colOff>
      <xdr:row>151</xdr:row>
      <xdr:rowOff>1</xdr:rowOff>
    </xdr:to>
    <xdr:sp macro="" textlink="">
      <xdr:nvSpPr>
        <xdr:cNvPr id="779" name="nuNumber: 808" hidden="1">
          <a:extLst>
            <a:ext uri="{FF2B5EF4-FFF2-40B4-BE49-F238E27FC236}">
              <a16:creationId xmlns:a16="http://schemas.microsoft.com/office/drawing/2014/main" id="{E85AD73D-EA0C-48C5-B6F8-C088AA254824}"/>
            </a:ext>
          </a:extLst>
        </xdr:cNvPr>
        <xdr:cNvSpPr/>
      </xdr:nvSpPr>
      <xdr:spPr bwMode="auto">
        <a:xfrm>
          <a:off x="6467475" y="317519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150</xdr:row>
      <xdr:rowOff>119381</xdr:rowOff>
    </xdr:from>
    <xdr:to>
      <xdr:col>9</xdr:col>
      <xdr:colOff>63500</xdr:colOff>
      <xdr:row>151</xdr:row>
      <xdr:rowOff>1</xdr:rowOff>
    </xdr:to>
    <xdr:sp macro="" textlink="">
      <xdr:nvSpPr>
        <xdr:cNvPr id="780" name="nuNumber: 809" hidden="1">
          <a:extLst>
            <a:ext uri="{FF2B5EF4-FFF2-40B4-BE49-F238E27FC236}">
              <a16:creationId xmlns:a16="http://schemas.microsoft.com/office/drawing/2014/main" id="{53778587-9648-46C3-86E8-C9A0E5DCA2B4}"/>
            </a:ext>
          </a:extLst>
        </xdr:cNvPr>
        <xdr:cNvSpPr/>
      </xdr:nvSpPr>
      <xdr:spPr bwMode="auto">
        <a:xfrm>
          <a:off x="6467475" y="317519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150</xdr:row>
      <xdr:rowOff>119381</xdr:rowOff>
    </xdr:from>
    <xdr:to>
      <xdr:col>10</xdr:col>
      <xdr:colOff>63500</xdr:colOff>
      <xdr:row>151</xdr:row>
      <xdr:rowOff>1</xdr:rowOff>
    </xdr:to>
    <xdr:sp macro="" textlink="">
      <xdr:nvSpPr>
        <xdr:cNvPr id="781" name="nuNumber: 810" hidden="1">
          <a:extLst>
            <a:ext uri="{FF2B5EF4-FFF2-40B4-BE49-F238E27FC236}">
              <a16:creationId xmlns:a16="http://schemas.microsoft.com/office/drawing/2014/main" id="{50D5B24A-39A8-4528-A22D-A76FAAC0EE20}"/>
            </a:ext>
          </a:extLst>
        </xdr:cNvPr>
        <xdr:cNvSpPr/>
      </xdr:nvSpPr>
      <xdr:spPr bwMode="auto">
        <a:xfrm>
          <a:off x="7315200" y="317519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150</xdr:row>
      <xdr:rowOff>119381</xdr:rowOff>
    </xdr:from>
    <xdr:to>
      <xdr:col>11</xdr:col>
      <xdr:colOff>63500</xdr:colOff>
      <xdr:row>151</xdr:row>
      <xdr:rowOff>1</xdr:rowOff>
    </xdr:to>
    <xdr:sp macro="" textlink="">
      <xdr:nvSpPr>
        <xdr:cNvPr id="782" name="nuNumber: 811" hidden="1">
          <a:extLst>
            <a:ext uri="{FF2B5EF4-FFF2-40B4-BE49-F238E27FC236}">
              <a16:creationId xmlns:a16="http://schemas.microsoft.com/office/drawing/2014/main" id="{2032AE83-67CB-4351-9DEE-60A330D16484}"/>
            </a:ext>
          </a:extLst>
        </xdr:cNvPr>
        <xdr:cNvSpPr/>
      </xdr:nvSpPr>
      <xdr:spPr bwMode="auto">
        <a:xfrm>
          <a:off x="8105775" y="317519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150</xdr:row>
      <xdr:rowOff>119381</xdr:rowOff>
    </xdr:from>
    <xdr:to>
      <xdr:col>12</xdr:col>
      <xdr:colOff>63500</xdr:colOff>
      <xdr:row>151</xdr:row>
      <xdr:rowOff>1</xdr:rowOff>
    </xdr:to>
    <xdr:sp macro="" textlink="">
      <xdr:nvSpPr>
        <xdr:cNvPr id="783" name="nuNumber: 812" hidden="1">
          <a:extLst>
            <a:ext uri="{FF2B5EF4-FFF2-40B4-BE49-F238E27FC236}">
              <a16:creationId xmlns:a16="http://schemas.microsoft.com/office/drawing/2014/main" id="{11825B50-4F96-444A-836E-8C9C467E56FE}"/>
            </a:ext>
          </a:extLst>
        </xdr:cNvPr>
        <xdr:cNvSpPr/>
      </xdr:nvSpPr>
      <xdr:spPr bwMode="auto">
        <a:xfrm>
          <a:off x="8972550" y="317519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150</xdr:row>
      <xdr:rowOff>119381</xdr:rowOff>
    </xdr:from>
    <xdr:to>
      <xdr:col>13</xdr:col>
      <xdr:colOff>63500</xdr:colOff>
      <xdr:row>151</xdr:row>
      <xdr:rowOff>1</xdr:rowOff>
    </xdr:to>
    <xdr:sp macro="" textlink="">
      <xdr:nvSpPr>
        <xdr:cNvPr id="784" name="nuNumber: 813" hidden="1">
          <a:extLst>
            <a:ext uri="{FF2B5EF4-FFF2-40B4-BE49-F238E27FC236}">
              <a16:creationId xmlns:a16="http://schemas.microsoft.com/office/drawing/2014/main" id="{9331E34B-5864-498F-88F9-77C00B44D0DF}"/>
            </a:ext>
          </a:extLst>
        </xdr:cNvPr>
        <xdr:cNvSpPr/>
      </xdr:nvSpPr>
      <xdr:spPr bwMode="auto">
        <a:xfrm>
          <a:off x="9753600" y="317519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150</xdr:row>
      <xdr:rowOff>119381</xdr:rowOff>
    </xdr:from>
    <xdr:to>
      <xdr:col>14</xdr:col>
      <xdr:colOff>63500</xdr:colOff>
      <xdr:row>151</xdr:row>
      <xdr:rowOff>1</xdr:rowOff>
    </xdr:to>
    <xdr:sp macro="" textlink="">
      <xdr:nvSpPr>
        <xdr:cNvPr id="785" name="nuNumber: 814" hidden="1">
          <a:extLst>
            <a:ext uri="{FF2B5EF4-FFF2-40B4-BE49-F238E27FC236}">
              <a16:creationId xmlns:a16="http://schemas.microsoft.com/office/drawing/2014/main" id="{E7A2024E-BC04-4D09-BEFD-84C33FCA95A3}"/>
            </a:ext>
          </a:extLst>
        </xdr:cNvPr>
        <xdr:cNvSpPr/>
      </xdr:nvSpPr>
      <xdr:spPr bwMode="auto">
        <a:xfrm>
          <a:off x="10515600" y="317519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150</xdr:row>
      <xdr:rowOff>119381</xdr:rowOff>
    </xdr:from>
    <xdr:to>
      <xdr:col>15</xdr:col>
      <xdr:colOff>63500</xdr:colOff>
      <xdr:row>151</xdr:row>
      <xdr:rowOff>1</xdr:rowOff>
    </xdr:to>
    <xdr:sp macro="" textlink="">
      <xdr:nvSpPr>
        <xdr:cNvPr id="786" name="nuNumber: 815" hidden="1">
          <a:extLst>
            <a:ext uri="{FF2B5EF4-FFF2-40B4-BE49-F238E27FC236}">
              <a16:creationId xmlns:a16="http://schemas.microsoft.com/office/drawing/2014/main" id="{E58DE9FF-C963-41A6-AD92-DD2A5F52CFFC}"/>
            </a:ext>
          </a:extLst>
        </xdr:cNvPr>
        <xdr:cNvSpPr/>
      </xdr:nvSpPr>
      <xdr:spPr bwMode="auto">
        <a:xfrm>
          <a:off x="11325225" y="317519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150</xdr:row>
      <xdr:rowOff>119381</xdr:rowOff>
    </xdr:from>
    <xdr:to>
      <xdr:col>16</xdr:col>
      <xdr:colOff>63500</xdr:colOff>
      <xdr:row>151</xdr:row>
      <xdr:rowOff>1</xdr:rowOff>
    </xdr:to>
    <xdr:sp macro="" textlink="">
      <xdr:nvSpPr>
        <xdr:cNvPr id="787" name="nuNumber: 816" hidden="1">
          <a:extLst>
            <a:ext uri="{FF2B5EF4-FFF2-40B4-BE49-F238E27FC236}">
              <a16:creationId xmlns:a16="http://schemas.microsoft.com/office/drawing/2014/main" id="{65B58BF2-4562-4609-95D9-D23E48C56E32}"/>
            </a:ext>
          </a:extLst>
        </xdr:cNvPr>
        <xdr:cNvSpPr/>
      </xdr:nvSpPr>
      <xdr:spPr bwMode="auto">
        <a:xfrm>
          <a:off x="12106275" y="317519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150</xdr:row>
      <xdr:rowOff>119381</xdr:rowOff>
    </xdr:from>
    <xdr:to>
      <xdr:col>17</xdr:col>
      <xdr:colOff>63500</xdr:colOff>
      <xdr:row>151</xdr:row>
      <xdr:rowOff>1</xdr:rowOff>
    </xdr:to>
    <xdr:sp macro="" textlink="">
      <xdr:nvSpPr>
        <xdr:cNvPr id="788" name="nuNumber: 817" hidden="1">
          <a:extLst>
            <a:ext uri="{FF2B5EF4-FFF2-40B4-BE49-F238E27FC236}">
              <a16:creationId xmlns:a16="http://schemas.microsoft.com/office/drawing/2014/main" id="{745014E0-4C30-4E78-9500-FAEBE8DA5C14}"/>
            </a:ext>
          </a:extLst>
        </xdr:cNvPr>
        <xdr:cNvSpPr/>
      </xdr:nvSpPr>
      <xdr:spPr bwMode="auto">
        <a:xfrm>
          <a:off x="12887325" y="317519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150</xdr:row>
      <xdr:rowOff>119381</xdr:rowOff>
    </xdr:from>
    <xdr:to>
      <xdr:col>18</xdr:col>
      <xdr:colOff>63499</xdr:colOff>
      <xdr:row>151</xdr:row>
      <xdr:rowOff>1</xdr:rowOff>
    </xdr:to>
    <xdr:sp macro="" textlink="">
      <xdr:nvSpPr>
        <xdr:cNvPr id="789" name="nuNumber: 818" hidden="1">
          <a:extLst>
            <a:ext uri="{FF2B5EF4-FFF2-40B4-BE49-F238E27FC236}">
              <a16:creationId xmlns:a16="http://schemas.microsoft.com/office/drawing/2014/main" id="{529D4C2D-37C2-46FD-AD65-D96D75A0C80D}"/>
            </a:ext>
          </a:extLst>
        </xdr:cNvPr>
        <xdr:cNvSpPr/>
      </xdr:nvSpPr>
      <xdr:spPr bwMode="auto">
        <a:xfrm>
          <a:off x="13624559" y="31751906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150</xdr:row>
      <xdr:rowOff>119381</xdr:rowOff>
    </xdr:from>
    <xdr:to>
      <xdr:col>19</xdr:col>
      <xdr:colOff>63500</xdr:colOff>
      <xdr:row>151</xdr:row>
      <xdr:rowOff>1</xdr:rowOff>
    </xdr:to>
    <xdr:sp macro="" textlink="">
      <xdr:nvSpPr>
        <xdr:cNvPr id="790" name="nuNumber: 819" hidden="1">
          <a:extLst>
            <a:ext uri="{FF2B5EF4-FFF2-40B4-BE49-F238E27FC236}">
              <a16:creationId xmlns:a16="http://schemas.microsoft.com/office/drawing/2014/main" id="{336EC00F-7AA0-4D2F-9DBA-F3B26BE6A188}"/>
            </a:ext>
          </a:extLst>
        </xdr:cNvPr>
        <xdr:cNvSpPr/>
      </xdr:nvSpPr>
      <xdr:spPr bwMode="auto">
        <a:xfrm>
          <a:off x="14382750" y="317519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150</xdr:row>
      <xdr:rowOff>119381</xdr:rowOff>
    </xdr:from>
    <xdr:to>
      <xdr:col>20</xdr:col>
      <xdr:colOff>63500</xdr:colOff>
      <xdr:row>151</xdr:row>
      <xdr:rowOff>1</xdr:rowOff>
    </xdr:to>
    <xdr:sp macro="" textlink="">
      <xdr:nvSpPr>
        <xdr:cNvPr id="791" name="nuNumber: 820" hidden="1">
          <a:extLst>
            <a:ext uri="{FF2B5EF4-FFF2-40B4-BE49-F238E27FC236}">
              <a16:creationId xmlns:a16="http://schemas.microsoft.com/office/drawing/2014/main" id="{10AE14B5-4C9D-4B08-97E5-3339641E76A4}"/>
            </a:ext>
          </a:extLst>
        </xdr:cNvPr>
        <xdr:cNvSpPr/>
      </xdr:nvSpPr>
      <xdr:spPr bwMode="auto">
        <a:xfrm>
          <a:off x="15135225" y="317519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150</xdr:row>
      <xdr:rowOff>119381</xdr:rowOff>
    </xdr:from>
    <xdr:to>
      <xdr:col>21</xdr:col>
      <xdr:colOff>63500</xdr:colOff>
      <xdr:row>151</xdr:row>
      <xdr:rowOff>1</xdr:rowOff>
    </xdr:to>
    <xdr:sp macro="" textlink="">
      <xdr:nvSpPr>
        <xdr:cNvPr id="792" name="nuNumber: 821" hidden="1">
          <a:extLst>
            <a:ext uri="{FF2B5EF4-FFF2-40B4-BE49-F238E27FC236}">
              <a16:creationId xmlns:a16="http://schemas.microsoft.com/office/drawing/2014/main" id="{2911E799-E774-4EC5-8F22-18824CF16F04}"/>
            </a:ext>
          </a:extLst>
        </xdr:cNvPr>
        <xdr:cNvSpPr/>
      </xdr:nvSpPr>
      <xdr:spPr bwMode="auto">
        <a:xfrm>
          <a:off x="15849600" y="317519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151</xdr:row>
      <xdr:rowOff>119380</xdr:rowOff>
    </xdr:from>
    <xdr:to>
      <xdr:col>8</xdr:col>
      <xdr:colOff>63500</xdr:colOff>
      <xdr:row>152</xdr:row>
      <xdr:rowOff>0</xdr:rowOff>
    </xdr:to>
    <xdr:sp macro="" textlink="">
      <xdr:nvSpPr>
        <xdr:cNvPr id="793" name="nuNumber: 822" hidden="1">
          <a:extLst>
            <a:ext uri="{FF2B5EF4-FFF2-40B4-BE49-F238E27FC236}">
              <a16:creationId xmlns:a16="http://schemas.microsoft.com/office/drawing/2014/main" id="{48F4BFD4-07A6-4919-BC78-AA1A62EF66C1}"/>
            </a:ext>
          </a:extLst>
        </xdr:cNvPr>
        <xdr:cNvSpPr/>
      </xdr:nvSpPr>
      <xdr:spPr bwMode="auto">
        <a:xfrm>
          <a:off x="5562600" y="319614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151</xdr:row>
      <xdr:rowOff>119380</xdr:rowOff>
    </xdr:from>
    <xdr:to>
      <xdr:col>9</xdr:col>
      <xdr:colOff>63500</xdr:colOff>
      <xdr:row>152</xdr:row>
      <xdr:rowOff>0</xdr:rowOff>
    </xdr:to>
    <xdr:sp macro="" textlink="">
      <xdr:nvSpPr>
        <xdr:cNvPr id="794" name="nuNumber: 823" hidden="1">
          <a:extLst>
            <a:ext uri="{FF2B5EF4-FFF2-40B4-BE49-F238E27FC236}">
              <a16:creationId xmlns:a16="http://schemas.microsoft.com/office/drawing/2014/main" id="{C982B24E-5000-4BDE-B52D-5641AC292552}"/>
            </a:ext>
          </a:extLst>
        </xdr:cNvPr>
        <xdr:cNvSpPr/>
      </xdr:nvSpPr>
      <xdr:spPr bwMode="auto">
        <a:xfrm>
          <a:off x="6467475" y="319614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151</xdr:row>
      <xdr:rowOff>119380</xdr:rowOff>
    </xdr:from>
    <xdr:to>
      <xdr:col>9</xdr:col>
      <xdr:colOff>63500</xdr:colOff>
      <xdr:row>152</xdr:row>
      <xdr:rowOff>0</xdr:rowOff>
    </xdr:to>
    <xdr:sp macro="" textlink="">
      <xdr:nvSpPr>
        <xdr:cNvPr id="795" name="nuNumber: 824" hidden="1">
          <a:extLst>
            <a:ext uri="{FF2B5EF4-FFF2-40B4-BE49-F238E27FC236}">
              <a16:creationId xmlns:a16="http://schemas.microsoft.com/office/drawing/2014/main" id="{9335DF70-89F6-4958-A49F-9517697E69F4}"/>
            </a:ext>
          </a:extLst>
        </xdr:cNvPr>
        <xdr:cNvSpPr/>
      </xdr:nvSpPr>
      <xdr:spPr bwMode="auto">
        <a:xfrm>
          <a:off x="6467475" y="319614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151</xdr:row>
      <xdr:rowOff>119380</xdr:rowOff>
    </xdr:from>
    <xdr:to>
      <xdr:col>10</xdr:col>
      <xdr:colOff>63500</xdr:colOff>
      <xdr:row>152</xdr:row>
      <xdr:rowOff>0</xdr:rowOff>
    </xdr:to>
    <xdr:sp macro="" textlink="">
      <xdr:nvSpPr>
        <xdr:cNvPr id="796" name="nuNumber: 825" hidden="1">
          <a:extLst>
            <a:ext uri="{FF2B5EF4-FFF2-40B4-BE49-F238E27FC236}">
              <a16:creationId xmlns:a16="http://schemas.microsoft.com/office/drawing/2014/main" id="{2FC9A08B-6DF7-4EB2-ACEC-80608A60C7C7}"/>
            </a:ext>
          </a:extLst>
        </xdr:cNvPr>
        <xdr:cNvSpPr/>
      </xdr:nvSpPr>
      <xdr:spPr bwMode="auto">
        <a:xfrm>
          <a:off x="7315200" y="319614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151</xdr:row>
      <xdr:rowOff>119380</xdr:rowOff>
    </xdr:from>
    <xdr:to>
      <xdr:col>11</xdr:col>
      <xdr:colOff>63500</xdr:colOff>
      <xdr:row>152</xdr:row>
      <xdr:rowOff>0</xdr:rowOff>
    </xdr:to>
    <xdr:sp macro="" textlink="">
      <xdr:nvSpPr>
        <xdr:cNvPr id="797" name="nuNumber: 826" hidden="1">
          <a:extLst>
            <a:ext uri="{FF2B5EF4-FFF2-40B4-BE49-F238E27FC236}">
              <a16:creationId xmlns:a16="http://schemas.microsoft.com/office/drawing/2014/main" id="{22C34CC1-BF0F-41B7-8CC5-2E9377457063}"/>
            </a:ext>
          </a:extLst>
        </xdr:cNvPr>
        <xdr:cNvSpPr/>
      </xdr:nvSpPr>
      <xdr:spPr bwMode="auto">
        <a:xfrm>
          <a:off x="8105775" y="319614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151</xdr:row>
      <xdr:rowOff>119380</xdr:rowOff>
    </xdr:from>
    <xdr:to>
      <xdr:col>12</xdr:col>
      <xdr:colOff>63500</xdr:colOff>
      <xdr:row>152</xdr:row>
      <xdr:rowOff>0</xdr:rowOff>
    </xdr:to>
    <xdr:sp macro="" textlink="">
      <xdr:nvSpPr>
        <xdr:cNvPr id="798" name="nuNumber: 827" hidden="1">
          <a:extLst>
            <a:ext uri="{FF2B5EF4-FFF2-40B4-BE49-F238E27FC236}">
              <a16:creationId xmlns:a16="http://schemas.microsoft.com/office/drawing/2014/main" id="{139AE4D1-48E7-46E6-8405-F14CF6066A0C}"/>
            </a:ext>
          </a:extLst>
        </xdr:cNvPr>
        <xdr:cNvSpPr/>
      </xdr:nvSpPr>
      <xdr:spPr bwMode="auto">
        <a:xfrm>
          <a:off x="8972550" y="319614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151</xdr:row>
      <xdr:rowOff>119380</xdr:rowOff>
    </xdr:from>
    <xdr:to>
      <xdr:col>13</xdr:col>
      <xdr:colOff>63500</xdr:colOff>
      <xdr:row>152</xdr:row>
      <xdr:rowOff>0</xdr:rowOff>
    </xdr:to>
    <xdr:sp macro="" textlink="">
      <xdr:nvSpPr>
        <xdr:cNvPr id="799" name="nuNumber: 828" hidden="1">
          <a:extLst>
            <a:ext uri="{FF2B5EF4-FFF2-40B4-BE49-F238E27FC236}">
              <a16:creationId xmlns:a16="http://schemas.microsoft.com/office/drawing/2014/main" id="{098AA124-0280-48B8-888D-CB7208209CAC}"/>
            </a:ext>
          </a:extLst>
        </xdr:cNvPr>
        <xdr:cNvSpPr/>
      </xdr:nvSpPr>
      <xdr:spPr bwMode="auto">
        <a:xfrm>
          <a:off x="9753600" y="319614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151</xdr:row>
      <xdr:rowOff>119380</xdr:rowOff>
    </xdr:from>
    <xdr:to>
      <xdr:col>14</xdr:col>
      <xdr:colOff>63500</xdr:colOff>
      <xdr:row>152</xdr:row>
      <xdr:rowOff>0</xdr:rowOff>
    </xdr:to>
    <xdr:sp macro="" textlink="">
      <xdr:nvSpPr>
        <xdr:cNvPr id="800" name="nuNumber: 829" hidden="1">
          <a:extLst>
            <a:ext uri="{FF2B5EF4-FFF2-40B4-BE49-F238E27FC236}">
              <a16:creationId xmlns:a16="http://schemas.microsoft.com/office/drawing/2014/main" id="{FBEE4F1C-0E85-4923-AA55-088B565F8CFF}"/>
            </a:ext>
          </a:extLst>
        </xdr:cNvPr>
        <xdr:cNvSpPr/>
      </xdr:nvSpPr>
      <xdr:spPr bwMode="auto">
        <a:xfrm>
          <a:off x="10515600" y="319614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151</xdr:row>
      <xdr:rowOff>119380</xdr:rowOff>
    </xdr:from>
    <xdr:to>
      <xdr:col>15</xdr:col>
      <xdr:colOff>63500</xdr:colOff>
      <xdr:row>152</xdr:row>
      <xdr:rowOff>0</xdr:rowOff>
    </xdr:to>
    <xdr:sp macro="" textlink="">
      <xdr:nvSpPr>
        <xdr:cNvPr id="801" name="nuNumber: 830" hidden="1">
          <a:extLst>
            <a:ext uri="{FF2B5EF4-FFF2-40B4-BE49-F238E27FC236}">
              <a16:creationId xmlns:a16="http://schemas.microsoft.com/office/drawing/2014/main" id="{ADF8CAE3-4100-4BA8-B60B-D51B8C1F7BE3}"/>
            </a:ext>
          </a:extLst>
        </xdr:cNvPr>
        <xdr:cNvSpPr/>
      </xdr:nvSpPr>
      <xdr:spPr bwMode="auto">
        <a:xfrm>
          <a:off x="11325225" y="319614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151</xdr:row>
      <xdr:rowOff>119380</xdr:rowOff>
    </xdr:from>
    <xdr:to>
      <xdr:col>16</xdr:col>
      <xdr:colOff>63500</xdr:colOff>
      <xdr:row>152</xdr:row>
      <xdr:rowOff>0</xdr:rowOff>
    </xdr:to>
    <xdr:sp macro="" textlink="">
      <xdr:nvSpPr>
        <xdr:cNvPr id="802" name="nuNumber: 831" hidden="1">
          <a:extLst>
            <a:ext uri="{FF2B5EF4-FFF2-40B4-BE49-F238E27FC236}">
              <a16:creationId xmlns:a16="http://schemas.microsoft.com/office/drawing/2014/main" id="{DF5450D7-3B79-406C-A757-C9032AB5C189}"/>
            </a:ext>
          </a:extLst>
        </xdr:cNvPr>
        <xdr:cNvSpPr/>
      </xdr:nvSpPr>
      <xdr:spPr bwMode="auto">
        <a:xfrm>
          <a:off x="12106275" y="319614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151</xdr:row>
      <xdr:rowOff>119380</xdr:rowOff>
    </xdr:from>
    <xdr:to>
      <xdr:col>17</xdr:col>
      <xdr:colOff>63500</xdr:colOff>
      <xdr:row>152</xdr:row>
      <xdr:rowOff>0</xdr:rowOff>
    </xdr:to>
    <xdr:sp macro="" textlink="">
      <xdr:nvSpPr>
        <xdr:cNvPr id="803" name="nuNumber: 832" hidden="1">
          <a:extLst>
            <a:ext uri="{FF2B5EF4-FFF2-40B4-BE49-F238E27FC236}">
              <a16:creationId xmlns:a16="http://schemas.microsoft.com/office/drawing/2014/main" id="{4DD154BF-FF91-40EF-B563-A59215E19A68}"/>
            </a:ext>
          </a:extLst>
        </xdr:cNvPr>
        <xdr:cNvSpPr/>
      </xdr:nvSpPr>
      <xdr:spPr bwMode="auto">
        <a:xfrm>
          <a:off x="12887325" y="319614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151</xdr:row>
      <xdr:rowOff>119380</xdr:rowOff>
    </xdr:from>
    <xdr:to>
      <xdr:col>18</xdr:col>
      <xdr:colOff>63499</xdr:colOff>
      <xdr:row>152</xdr:row>
      <xdr:rowOff>0</xdr:rowOff>
    </xdr:to>
    <xdr:sp macro="" textlink="">
      <xdr:nvSpPr>
        <xdr:cNvPr id="804" name="nuNumber: 833" hidden="1">
          <a:extLst>
            <a:ext uri="{FF2B5EF4-FFF2-40B4-BE49-F238E27FC236}">
              <a16:creationId xmlns:a16="http://schemas.microsoft.com/office/drawing/2014/main" id="{B7125F2B-FC99-4AD5-9ACE-C1F85B76B1F9}"/>
            </a:ext>
          </a:extLst>
        </xdr:cNvPr>
        <xdr:cNvSpPr/>
      </xdr:nvSpPr>
      <xdr:spPr bwMode="auto">
        <a:xfrm>
          <a:off x="13624559" y="31961455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151</xdr:row>
      <xdr:rowOff>119380</xdr:rowOff>
    </xdr:from>
    <xdr:to>
      <xdr:col>19</xdr:col>
      <xdr:colOff>63500</xdr:colOff>
      <xdr:row>152</xdr:row>
      <xdr:rowOff>0</xdr:rowOff>
    </xdr:to>
    <xdr:sp macro="" textlink="">
      <xdr:nvSpPr>
        <xdr:cNvPr id="805" name="nuNumber: 834" hidden="1">
          <a:extLst>
            <a:ext uri="{FF2B5EF4-FFF2-40B4-BE49-F238E27FC236}">
              <a16:creationId xmlns:a16="http://schemas.microsoft.com/office/drawing/2014/main" id="{A3869383-374F-410B-B885-9523D49AFDA7}"/>
            </a:ext>
          </a:extLst>
        </xdr:cNvPr>
        <xdr:cNvSpPr/>
      </xdr:nvSpPr>
      <xdr:spPr bwMode="auto">
        <a:xfrm>
          <a:off x="14382750" y="319614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151</xdr:row>
      <xdr:rowOff>119380</xdr:rowOff>
    </xdr:from>
    <xdr:to>
      <xdr:col>20</xdr:col>
      <xdr:colOff>63500</xdr:colOff>
      <xdr:row>152</xdr:row>
      <xdr:rowOff>0</xdr:rowOff>
    </xdr:to>
    <xdr:sp macro="" textlink="">
      <xdr:nvSpPr>
        <xdr:cNvPr id="806" name="nuNumber: 835" hidden="1">
          <a:extLst>
            <a:ext uri="{FF2B5EF4-FFF2-40B4-BE49-F238E27FC236}">
              <a16:creationId xmlns:a16="http://schemas.microsoft.com/office/drawing/2014/main" id="{5F3A72A6-C39B-498A-9DB8-6952150FDA79}"/>
            </a:ext>
          </a:extLst>
        </xdr:cNvPr>
        <xdr:cNvSpPr/>
      </xdr:nvSpPr>
      <xdr:spPr bwMode="auto">
        <a:xfrm>
          <a:off x="15135225" y="319614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151</xdr:row>
      <xdr:rowOff>119380</xdr:rowOff>
    </xdr:from>
    <xdr:to>
      <xdr:col>21</xdr:col>
      <xdr:colOff>63500</xdr:colOff>
      <xdr:row>152</xdr:row>
      <xdr:rowOff>0</xdr:rowOff>
    </xdr:to>
    <xdr:sp macro="" textlink="">
      <xdr:nvSpPr>
        <xdr:cNvPr id="807" name="nuNumber: 836" hidden="1">
          <a:extLst>
            <a:ext uri="{FF2B5EF4-FFF2-40B4-BE49-F238E27FC236}">
              <a16:creationId xmlns:a16="http://schemas.microsoft.com/office/drawing/2014/main" id="{BF60674D-5BE1-488B-8232-CA9B41B94353}"/>
            </a:ext>
          </a:extLst>
        </xdr:cNvPr>
        <xdr:cNvSpPr/>
      </xdr:nvSpPr>
      <xdr:spPr bwMode="auto">
        <a:xfrm>
          <a:off x="15849600" y="319614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152</xdr:row>
      <xdr:rowOff>119379</xdr:rowOff>
    </xdr:from>
    <xdr:to>
      <xdr:col>8</xdr:col>
      <xdr:colOff>63500</xdr:colOff>
      <xdr:row>152</xdr:row>
      <xdr:rowOff>182879</xdr:rowOff>
    </xdr:to>
    <xdr:sp macro="" textlink="">
      <xdr:nvSpPr>
        <xdr:cNvPr id="808" name="nuNumber: 837" hidden="1">
          <a:extLst>
            <a:ext uri="{FF2B5EF4-FFF2-40B4-BE49-F238E27FC236}">
              <a16:creationId xmlns:a16="http://schemas.microsoft.com/office/drawing/2014/main" id="{B12A01F0-FB3D-4FEE-98F2-58E9CF26C682}"/>
            </a:ext>
          </a:extLst>
        </xdr:cNvPr>
        <xdr:cNvSpPr/>
      </xdr:nvSpPr>
      <xdr:spPr bwMode="auto">
        <a:xfrm>
          <a:off x="5562600" y="321710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152</xdr:row>
      <xdr:rowOff>119379</xdr:rowOff>
    </xdr:from>
    <xdr:to>
      <xdr:col>9</xdr:col>
      <xdr:colOff>63500</xdr:colOff>
      <xdr:row>152</xdr:row>
      <xdr:rowOff>182879</xdr:rowOff>
    </xdr:to>
    <xdr:sp macro="" textlink="">
      <xdr:nvSpPr>
        <xdr:cNvPr id="809" name="nuNumber: 838" hidden="1">
          <a:extLst>
            <a:ext uri="{FF2B5EF4-FFF2-40B4-BE49-F238E27FC236}">
              <a16:creationId xmlns:a16="http://schemas.microsoft.com/office/drawing/2014/main" id="{7BF85FF4-5385-4915-BA6D-2390B7F114FB}"/>
            </a:ext>
          </a:extLst>
        </xdr:cNvPr>
        <xdr:cNvSpPr/>
      </xdr:nvSpPr>
      <xdr:spPr bwMode="auto">
        <a:xfrm>
          <a:off x="6467475" y="321710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152</xdr:row>
      <xdr:rowOff>119379</xdr:rowOff>
    </xdr:from>
    <xdr:to>
      <xdr:col>10</xdr:col>
      <xdr:colOff>63500</xdr:colOff>
      <xdr:row>152</xdr:row>
      <xdr:rowOff>182879</xdr:rowOff>
    </xdr:to>
    <xdr:sp macro="" textlink="">
      <xdr:nvSpPr>
        <xdr:cNvPr id="810" name="nuNumber: 839" hidden="1">
          <a:extLst>
            <a:ext uri="{FF2B5EF4-FFF2-40B4-BE49-F238E27FC236}">
              <a16:creationId xmlns:a16="http://schemas.microsoft.com/office/drawing/2014/main" id="{1D357548-8F53-4B32-A6D6-9281C7805630}"/>
            </a:ext>
          </a:extLst>
        </xdr:cNvPr>
        <xdr:cNvSpPr/>
      </xdr:nvSpPr>
      <xdr:spPr bwMode="auto">
        <a:xfrm>
          <a:off x="7315200" y="321710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152</xdr:row>
      <xdr:rowOff>119379</xdr:rowOff>
    </xdr:from>
    <xdr:to>
      <xdr:col>11</xdr:col>
      <xdr:colOff>63500</xdr:colOff>
      <xdr:row>152</xdr:row>
      <xdr:rowOff>182879</xdr:rowOff>
    </xdr:to>
    <xdr:sp macro="" textlink="">
      <xdr:nvSpPr>
        <xdr:cNvPr id="811" name="nuNumber: 840" hidden="1">
          <a:extLst>
            <a:ext uri="{FF2B5EF4-FFF2-40B4-BE49-F238E27FC236}">
              <a16:creationId xmlns:a16="http://schemas.microsoft.com/office/drawing/2014/main" id="{2B0650E9-B212-413E-B1E6-7020BA52E566}"/>
            </a:ext>
          </a:extLst>
        </xdr:cNvPr>
        <xdr:cNvSpPr/>
      </xdr:nvSpPr>
      <xdr:spPr bwMode="auto">
        <a:xfrm>
          <a:off x="8105775" y="321710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152</xdr:row>
      <xdr:rowOff>119379</xdr:rowOff>
    </xdr:from>
    <xdr:to>
      <xdr:col>12</xdr:col>
      <xdr:colOff>63500</xdr:colOff>
      <xdr:row>152</xdr:row>
      <xdr:rowOff>182879</xdr:rowOff>
    </xdr:to>
    <xdr:sp macro="" textlink="">
      <xdr:nvSpPr>
        <xdr:cNvPr id="812" name="nuNumber: 841" hidden="1">
          <a:extLst>
            <a:ext uri="{FF2B5EF4-FFF2-40B4-BE49-F238E27FC236}">
              <a16:creationId xmlns:a16="http://schemas.microsoft.com/office/drawing/2014/main" id="{E185A41B-4FD6-4CE1-B3AF-1CB64EC02398}"/>
            </a:ext>
          </a:extLst>
        </xdr:cNvPr>
        <xdr:cNvSpPr/>
      </xdr:nvSpPr>
      <xdr:spPr bwMode="auto">
        <a:xfrm>
          <a:off x="8972550" y="321710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152</xdr:row>
      <xdr:rowOff>119379</xdr:rowOff>
    </xdr:from>
    <xdr:to>
      <xdr:col>13</xdr:col>
      <xdr:colOff>63500</xdr:colOff>
      <xdr:row>152</xdr:row>
      <xdr:rowOff>182879</xdr:rowOff>
    </xdr:to>
    <xdr:sp macro="" textlink="">
      <xdr:nvSpPr>
        <xdr:cNvPr id="813" name="nuNumber: 842" hidden="1">
          <a:extLst>
            <a:ext uri="{FF2B5EF4-FFF2-40B4-BE49-F238E27FC236}">
              <a16:creationId xmlns:a16="http://schemas.microsoft.com/office/drawing/2014/main" id="{08C7B01D-5E44-46B6-BE33-D2859BC96332}"/>
            </a:ext>
          </a:extLst>
        </xdr:cNvPr>
        <xdr:cNvSpPr/>
      </xdr:nvSpPr>
      <xdr:spPr bwMode="auto">
        <a:xfrm>
          <a:off x="9753600" y="321710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152</xdr:row>
      <xdr:rowOff>119379</xdr:rowOff>
    </xdr:from>
    <xdr:to>
      <xdr:col>14</xdr:col>
      <xdr:colOff>63500</xdr:colOff>
      <xdr:row>152</xdr:row>
      <xdr:rowOff>182879</xdr:rowOff>
    </xdr:to>
    <xdr:sp macro="" textlink="">
      <xdr:nvSpPr>
        <xdr:cNvPr id="814" name="nuNumber: 843" hidden="1">
          <a:extLst>
            <a:ext uri="{FF2B5EF4-FFF2-40B4-BE49-F238E27FC236}">
              <a16:creationId xmlns:a16="http://schemas.microsoft.com/office/drawing/2014/main" id="{AAB87710-8670-48DA-BFEA-DBD45FBAEB6B}"/>
            </a:ext>
          </a:extLst>
        </xdr:cNvPr>
        <xdr:cNvSpPr/>
      </xdr:nvSpPr>
      <xdr:spPr bwMode="auto">
        <a:xfrm>
          <a:off x="10515600" y="321710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152</xdr:row>
      <xdr:rowOff>119379</xdr:rowOff>
    </xdr:from>
    <xdr:to>
      <xdr:col>15</xdr:col>
      <xdr:colOff>63500</xdr:colOff>
      <xdr:row>152</xdr:row>
      <xdr:rowOff>182879</xdr:rowOff>
    </xdr:to>
    <xdr:sp macro="" textlink="">
      <xdr:nvSpPr>
        <xdr:cNvPr id="815" name="nuNumber: 844" hidden="1">
          <a:extLst>
            <a:ext uri="{FF2B5EF4-FFF2-40B4-BE49-F238E27FC236}">
              <a16:creationId xmlns:a16="http://schemas.microsoft.com/office/drawing/2014/main" id="{E867CD73-D176-4B67-9060-B0FD03EC2CC2}"/>
            </a:ext>
          </a:extLst>
        </xdr:cNvPr>
        <xdr:cNvSpPr/>
      </xdr:nvSpPr>
      <xdr:spPr bwMode="auto">
        <a:xfrm>
          <a:off x="11325225" y="321710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152</xdr:row>
      <xdr:rowOff>119379</xdr:rowOff>
    </xdr:from>
    <xdr:to>
      <xdr:col>16</xdr:col>
      <xdr:colOff>63500</xdr:colOff>
      <xdr:row>152</xdr:row>
      <xdr:rowOff>182879</xdr:rowOff>
    </xdr:to>
    <xdr:sp macro="" textlink="">
      <xdr:nvSpPr>
        <xdr:cNvPr id="816" name="nuNumber: 845" hidden="1">
          <a:extLst>
            <a:ext uri="{FF2B5EF4-FFF2-40B4-BE49-F238E27FC236}">
              <a16:creationId xmlns:a16="http://schemas.microsoft.com/office/drawing/2014/main" id="{48DEECA1-9A32-4F4B-8550-A1F649D0B23D}"/>
            </a:ext>
          </a:extLst>
        </xdr:cNvPr>
        <xdr:cNvSpPr/>
      </xdr:nvSpPr>
      <xdr:spPr bwMode="auto">
        <a:xfrm>
          <a:off x="12106275" y="321710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152</xdr:row>
      <xdr:rowOff>119379</xdr:rowOff>
    </xdr:from>
    <xdr:to>
      <xdr:col>17</xdr:col>
      <xdr:colOff>63500</xdr:colOff>
      <xdr:row>152</xdr:row>
      <xdr:rowOff>182879</xdr:rowOff>
    </xdr:to>
    <xdr:sp macro="" textlink="">
      <xdr:nvSpPr>
        <xdr:cNvPr id="817" name="nuNumber: 846" hidden="1">
          <a:extLst>
            <a:ext uri="{FF2B5EF4-FFF2-40B4-BE49-F238E27FC236}">
              <a16:creationId xmlns:a16="http://schemas.microsoft.com/office/drawing/2014/main" id="{769F2CCC-FA13-45CB-A22F-F01AA87C6171}"/>
            </a:ext>
          </a:extLst>
        </xdr:cNvPr>
        <xdr:cNvSpPr/>
      </xdr:nvSpPr>
      <xdr:spPr bwMode="auto">
        <a:xfrm>
          <a:off x="12887325" y="321710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152</xdr:row>
      <xdr:rowOff>119379</xdr:rowOff>
    </xdr:from>
    <xdr:to>
      <xdr:col>18</xdr:col>
      <xdr:colOff>63499</xdr:colOff>
      <xdr:row>152</xdr:row>
      <xdr:rowOff>182879</xdr:rowOff>
    </xdr:to>
    <xdr:sp macro="" textlink="">
      <xdr:nvSpPr>
        <xdr:cNvPr id="818" name="nuNumber: 847" hidden="1">
          <a:extLst>
            <a:ext uri="{FF2B5EF4-FFF2-40B4-BE49-F238E27FC236}">
              <a16:creationId xmlns:a16="http://schemas.microsoft.com/office/drawing/2014/main" id="{E497A475-F743-4228-9DC6-5A6278E8802B}"/>
            </a:ext>
          </a:extLst>
        </xdr:cNvPr>
        <xdr:cNvSpPr/>
      </xdr:nvSpPr>
      <xdr:spPr bwMode="auto">
        <a:xfrm>
          <a:off x="13624559" y="32171004"/>
          <a:ext cx="5969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152</xdr:row>
      <xdr:rowOff>119379</xdr:rowOff>
    </xdr:from>
    <xdr:to>
      <xdr:col>19</xdr:col>
      <xdr:colOff>63500</xdr:colOff>
      <xdr:row>152</xdr:row>
      <xdr:rowOff>182879</xdr:rowOff>
    </xdr:to>
    <xdr:sp macro="" textlink="">
      <xdr:nvSpPr>
        <xdr:cNvPr id="819" name="nuNumber: 848" hidden="1">
          <a:extLst>
            <a:ext uri="{FF2B5EF4-FFF2-40B4-BE49-F238E27FC236}">
              <a16:creationId xmlns:a16="http://schemas.microsoft.com/office/drawing/2014/main" id="{EE8E352E-8011-49D4-8113-C657E8581F9D}"/>
            </a:ext>
          </a:extLst>
        </xdr:cNvPr>
        <xdr:cNvSpPr/>
      </xdr:nvSpPr>
      <xdr:spPr bwMode="auto">
        <a:xfrm>
          <a:off x="14382750" y="321710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152</xdr:row>
      <xdr:rowOff>119379</xdr:rowOff>
    </xdr:from>
    <xdr:to>
      <xdr:col>20</xdr:col>
      <xdr:colOff>63500</xdr:colOff>
      <xdr:row>152</xdr:row>
      <xdr:rowOff>182879</xdr:rowOff>
    </xdr:to>
    <xdr:sp macro="" textlink="">
      <xdr:nvSpPr>
        <xdr:cNvPr id="820" name="nuNumber: 849" hidden="1">
          <a:extLst>
            <a:ext uri="{FF2B5EF4-FFF2-40B4-BE49-F238E27FC236}">
              <a16:creationId xmlns:a16="http://schemas.microsoft.com/office/drawing/2014/main" id="{F98C8704-CDBB-485E-8EBE-BBDE3A7AF5B9}"/>
            </a:ext>
          </a:extLst>
        </xdr:cNvPr>
        <xdr:cNvSpPr/>
      </xdr:nvSpPr>
      <xdr:spPr bwMode="auto">
        <a:xfrm>
          <a:off x="15135225" y="321710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152</xdr:row>
      <xdr:rowOff>119379</xdr:rowOff>
    </xdr:from>
    <xdr:to>
      <xdr:col>21</xdr:col>
      <xdr:colOff>63500</xdr:colOff>
      <xdr:row>152</xdr:row>
      <xdr:rowOff>182879</xdr:rowOff>
    </xdr:to>
    <xdr:sp macro="" textlink="">
      <xdr:nvSpPr>
        <xdr:cNvPr id="821" name="nuNumber: 850" hidden="1">
          <a:extLst>
            <a:ext uri="{FF2B5EF4-FFF2-40B4-BE49-F238E27FC236}">
              <a16:creationId xmlns:a16="http://schemas.microsoft.com/office/drawing/2014/main" id="{7177D64F-B417-46E8-9D1D-8151CC48E739}"/>
            </a:ext>
          </a:extLst>
        </xdr:cNvPr>
        <xdr:cNvSpPr/>
      </xdr:nvSpPr>
      <xdr:spPr bwMode="auto">
        <a:xfrm>
          <a:off x="15849600" y="321710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153</xdr:row>
      <xdr:rowOff>119381</xdr:rowOff>
    </xdr:from>
    <xdr:to>
      <xdr:col>6</xdr:col>
      <xdr:colOff>63500</xdr:colOff>
      <xdr:row>154</xdr:row>
      <xdr:rowOff>1</xdr:rowOff>
    </xdr:to>
    <xdr:sp macro="" textlink="">
      <xdr:nvSpPr>
        <xdr:cNvPr id="822" name="nuNumber: 851" hidden="1">
          <a:extLst>
            <a:ext uri="{FF2B5EF4-FFF2-40B4-BE49-F238E27FC236}">
              <a16:creationId xmlns:a16="http://schemas.microsoft.com/office/drawing/2014/main" id="{28C4B611-E864-440A-BDDA-2CED102023BE}"/>
            </a:ext>
          </a:extLst>
        </xdr:cNvPr>
        <xdr:cNvSpPr/>
      </xdr:nvSpPr>
      <xdr:spPr bwMode="auto">
        <a:xfrm>
          <a:off x="3800475" y="323805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153</xdr:row>
      <xdr:rowOff>119381</xdr:rowOff>
    </xdr:from>
    <xdr:to>
      <xdr:col>7</xdr:col>
      <xdr:colOff>63500</xdr:colOff>
      <xdr:row>154</xdr:row>
      <xdr:rowOff>1</xdr:rowOff>
    </xdr:to>
    <xdr:sp macro="" textlink="">
      <xdr:nvSpPr>
        <xdr:cNvPr id="823" name="nuNumber: 852" hidden="1">
          <a:extLst>
            <a:ext uri="{FF2B5EF4-FFF2-40B4-BE49-F238E27FC236}">
              <a16:creationId xmlns:a16="http://schemas.microsoft.com/office/drawing/2014/main" id="{22FBB3F2-1939-4FC2-A6A9-2C12FA5746E9}"/>
            </a:ext>
          </a:extLst>
        </xdr:cNvPr>
        <xdr:cNvSpPr/>
      </xdr:nvSpPr>
      <xdr:spPr bwMode="auto">
        <a:xfrm>
          <a:off x="4676775" y="323805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153</xdr:row>
      <xdr:rowOff>119381</xdr:rowOff>
    </xdr:from>
    <xdr:to>
      <xdr:col>8</xdr:col>
      <xdr:colOff>63500</xdr:colOff>
      <xdr:row>154</xdr:row>
      <xdr:rowOff>1</xdr:rowOff>
    </xdr:to>
    <xdr:sp macro="" textlink="">
      <xdr:nvSpPr>
        <xdr:cNvPr id="824" name="nuNumber: 853" hidden="1">
          <a:extLst>
            <a:ext uri="{FF2B5EF4-FFF2-40B4-BE49-F238E27FC236}">
              <a16:creationId xmlns:a16="http://schemas.microsoft.com/office/drawing/2014/main" id="{B004EFF6-D1DB-499C-B092-7101A212E25B}"/>
            </a:ext>
          </a:extLst>
        </xdr:cNvPr>
        <xdr:cNvSpPr/>
      </xdr:nvSpPr>
      <xdr:spPr bwMode="auto">
        <a:xfrm>
          <a:off x="5562600" y="323805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153</xdr:row>
      <xdr:rowOff>119381</xdr:rowOff>
    </xdr:from>
    <xdr:to>
      <xdr:col>9</xdr:col>
      <xdr:colOff>63500</xdr:colOff>
      <xdr:row>154</xdr:row>
      <xdr:rowOff>1</xdr:rowOff>
    </xdr:to>
    <xdr:sp macro="" textlink="">
      <xdr:nvSpPr>
        <xdr:cNvPr id="825" name="nuNumber: 854" hidden="1">
          <a:extLst>
            <a:ext uri="{FF2B5EF4-FFF2-40B4-BE49-F238E27FC236}">
              <a16:creationId xmlns:a16="http://schemas.microsoft.com/office/drawing/2014/main" id="{10DE86F0-6D9F-4A7A-834A-9DBF774A1826}"/>
            </a:ext>
          </a:extLst>
        </xdr:cNvPr>
        <xdr:cNvSpPr/>
      </xdr:nvSpPr>
      <xdr:spPr bwMode="auto">
        <a:xfrm>
          <a:off x="6467475" y="323805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153</xdr:row>
      <xdr:rowOff>119381</xdr:rowOff>
    </xdr:from>
    <xdr:to>
      <xdr:col>9</xdr:col>
      <xdr:colOff>63500</xdr:colOff>
      <xdr:row>154</xdr:row>
      <xdr:rowOff>1</xdr:rowOff>
    </xdr:to>
    <xdr:sp macro="" textlink="">
      <xdr:nvSpPr>
        <xdr:cNvPr id="826" name="nuNumber: 855" hidden="1">
          <a:extLst>
            <a:ext uri="{FF2B5EF4-FFF2-40B4-BE49-F238E27FC236}">
              <a16:creationId xmlns:a16="http://schemas.microsoft.com/office/drawing/2014/main" id="{3BA5F697-1A10-4E8F-8587-A48665351D42}"/>
            </a:ext>
          </a:extLst>
        </xdr:cNvPr>
        <xdr:cNvSpPr/>
      </xdr:nvSpPr>
      <xdr:spPr bwMode="auto">
        <a:xfrm>
          <a:off x="6467475" y="323805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153</xdr:row>
      <xdr:rowOff>119381</xdr:rowOff>
    </xdr:from>
    <xdr:to>
      <xdr:col>11</xdr:col>
      <xdr:colOff>63500</xdr:colOff>
      <xdr:row>154</xdr:row>
      <xdr:rowOff>1</xdr:rowOff>
    </xdr:to>
    <xdr:sp macro="" textlink="">
      <xdr:nvSpPr>
        <xdr:cNvPr id="827" name="nuNumber: 856" hidden="1">
          <a:extLst>
            <a:ext uri="{FF2B5EF4-FFF2-40B4-BE49-F238E27FC236}">
              <a16:creationId xmlns:a16="http://schemas.microsoft.com/office/drawing/2014/main" id="{9BCE486F-FAC2-42F2-BB20-A4B4CAD6C2A0}"/>
            </a:ext>
          </a:extLst>
        </xdr:cNvPr>
        <xdr:cNvSpPr/>
      </xdr:nvSpPr>
      <xdr:spPr bwMode="auto">
        <a:xfrm>
          <a:off x="8105775" y="323805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153</xdr:row>
      <xdr:rowOff>119381</xdr:rowOff>
    </xdr:from>
    <xdr:to>
      <xdr:col>12</xdr:col>
      <xdr:colOff>63500</xdr:colOff>
      <xdr:row>154</xdr:row>
      <xdr:rowOff>1</xdr:rowOff>
    </xdr:to>
    <xdr:sp macro="" textlink="">
      <xdr:nvSpPr>
        <xdr:cNvPr id="828" name="nuNumber: 857" hidden="1">
          <a:extLst>
            <a:ext uri="{FF2B5EF4-FFF2-40B4-BE49-F238E27FC236}">
              <a16:creationId xmlns:a16="http://schemas.microsoft.com/office/drawing/2014/main" id="{F4B19AF0-8BC0-4000-846A-3864B75BBE9A}"/>
            </a:ext>
          </a:extLst>
        </xdr:cNvPr>
        <xdr:cNvSpPr/>
      </xdr:nvSpPr>
      <xdr:spPr bwMode="auto">
        <a:xfrm>
          <a:off x="8972550" y="323805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153</xdr:row>
      <xdr:rowOff>119381</xdr:rowOff>
    </xdr:from>
    <xdr:to>
      <xdr:col>13</xdr:col>
      <xdr:colOff>63500</xdr:colOff>
      <xdr:row>154</xdr:row>
      <xdr:rowOff>1</xdr:rowOff>
    </xdr:to>
    <xdr:sp macro="" textlink="">
      <xdr:nvSpPr>
        <xdr:cNvPr id="829" name="nuNumber: 858" hidden="1">
          <a:extLst>
            <a:ext uri="{FF2B5EF4-FFF2-40B4-BE49-F238E27FC236}">
              <a16:creationId xmlns:a16="http://schemas.microsoft.com/office/drawing/2014/main" id="{B4AD18BF-E537-41D4-BDE8-E17554B83985}"/>
            </a:ext>
          </a:extLst>
        </xdr:cNvPr>
        <xdr:cNvSpPr/>
      </xdr:nvSpPr>
      <xdr:spPr bwMode="auto">
        <a:xfrm>
          <a:off x="9753600" y="323805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153</xdr:row>
      <xdr:rowOff>119381</xdr:rowOff>
    </xdr:from>
    <xdr:to>
      <xdr:col>14</xdr:col>
      <xdr:colOff>63500</xdr:colOff>
      <xdr:row>154</xdr:row>
      <xdr:rowOff>1</xdr:rowOff>
    </xdr:to>
    <xdr:sp macro="" textlink="">
      <xdr:nvSpPr>
        <xdr:cNvPr id="830" name="nuNumber: 859" hidden="1">
          <a:extLst>
            <a:ext uri="{FF2B5EF4-FFF2-40B4-BE49-F238E27FC236}">
              <a16:creationId xmlns:a16="http://schemas.microsoft.com/office/drawing/2014/main" id="{009EC0DE-FE56-4856-8CA7-32C571BC2399}"/>
            </a:ext>
          </a:extLst>
        </xdr:cNvPr>
        <xdr:cNvSpPr/>
      </xdr:nvSpPr>
      <xdr:spPr bwMode="auto">
        <a:xfrm>
          <a:off x="10515600" y="323805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153</xdr:row>
      <xdr:rowOff>119381</xdr:rowOff>
    </xdr:from>
    <xdr:to>
      <xdr:col>15</xdr:col>
      <xdr:colOff>63500</xdr:colOff>
      <xdr:row>154</xdr:row>
      <xdr:rowOff>1</xdr:rowOff>
    </xdr:to>
    <xdr:sp macro="" textlink="">
      <xdr:nvSpPr>
        <xdr:cNvPr id="831" name="nuNumber: 860" hidden="1">
          <a:extLst>
            <a:ext uri="{FF2B5EF4-FFF2-40B4-BE49-F238E27FC236}">
              <a16:creationId xmlns:a16="http://schemas.microsoft.com/office/drawing/2014/main" id="{6432A930-81D4-4C28-8157-5CD9291194E2}"/>
            </a:ext>
          </a:extLst>
        </xdr:cNvPr>
        <xdr:cNvSpPr/>
      </xdr:nvSpPr>
      <xdr:spPr bwMode="auto">
        <a:xfrm>
          <a:off x="11325225" y="323805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153</xdr:row>
      <xdr:rowOff>119381</xdr:rowOff>
    </xdr:from>
    <xdr:to>
      <xdr:col>16</xdr:col>
      <xdr:colOff>63500</xdr:colOff>
      <xdr:row>154</xdr:row>
      <xdr:rowOff>1</xdr:rowOff>
    </xdr:to>
    <xdr:sp macro="" textlink="">
      <xdr:nvSpPr>
        <xdr:cNvPr id="832" name="nuNumber: 861" hidden="1">
          <a:extLst>
            <a:ext uri="{FF2B5EF4-FFF2-40B4-BE49-F238E27FC236}">
              <a16:creationId xmlns:a16="http://schemas.microsoft.com/office/drawing/2014/main" id="{1ECC1AB2-76F0-41A0-AE22-A08E298C1896}"/>
            </a:ext>
          </a:extLst>
        </xdr:cNvPr>
        <xdr:cNvSpPr/>
      </xdr:nvSpPr>
      <xdr:spPr bwMode="auto">
        <a:xfrm>
          <a:off x="12106275" y="323805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153</xdr:row>
      <xdr:rowOff>119381</xdr:rowOff>
    </xdr:from>
    <xdr:to>
      <xdr:col>17</xdr:col>
      <xdr:colOff>63500</xdr:colOff>
      <xdr:row>154</xdr:row>
      <xdr:rowOff>1</xdr:rowOff>
    </xdr:to>
    <xdr:sp macro="" textlink="">
      <xdr:nvSpPr>
        <xdr:cNvPr id="833" name="nuNumber: 862" hidden="1">
          <a:extLst>
            <a:ext uri="{FF2B5EF4-FFF2-40B4-BE49-F238E27FC236}">
              <a16:creationId xmlns:a16="http://schemas.microsoft.com/office/drawing/2014/main" id="{CC58E778-5C25-4BA4-B045-EE2C76C35EA6}"/>
            </a:ext>
          </a:extLst>
        </xdr:cNvPr>
        <xdr:cNvSpPr/>
      </xdr:nvSpPr>
      <xdr:spPr bwMode="auto">
        <a:xfrm>
          <a:off x="12887325" y="323805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153</xdr:row>
      <xdr:rowOff>119381</xdr:rowOff>
    </xdr:from>
    <xdr:to>
      <xdr:col>18</xdr:col>
      <xdr:colOff>63499</xdr:colOff>
      <xdr:row>154</xdr:row>
      <xdr:rowOff>1</xdr:rowOff>
    </xdr:to>
    <xdr:sp macro="" textlink="">
      <xdr:nvSpPr>
        <xdr:cNvPr id="834" name="nuNumber: 863" hidden="1">
          <a:extLst>
            <a:ext uri="{FF2B5EF4-FFF2-40B4-BE49-F238E27FC236}">
              <a16:creationId xmlns:a16="http://schemas.microsoft.com/office/drawing/2014/main" id="{7DAEFA6A-E90A-4F7C-BCAC-ADEEEF466D7E}"/>
            </a:ext>
          </a:extLst>
        </xdr:cNvPr>
        <xdr:cNvSpPr/>
      </xdr:nvSpPr>
      <xdr:spPr bwMode="auto">
        <a:xfrm>
          <a:off x="13624559" y="32380556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153</xdr:row>
      <xdr:rowOff>119381</xdr:rowOff>
    </xdr:from>
    <xdr:to>
      <xdr:col>19</xdr:col>
      <xdr:colOff>63500</xdr:colOff>
      <xdr:row>154</xdr:row>
      <xdr:rowOff>1</xdr:rowOff>
    </xdr:to>
    <xdr:sp macro="" textlink="">
      <xdr:nvSpPr>
        <xdr:cNvPr id="835" name="nuNumber: 864" hidden="1">
          <a:extLst>
            <a:ext uri="{FF2B5EF4-FFF2-40B4-BE49-F238E27FC236}">
              <a16:creationId xmlns:a16="http://schemas.microsoft.com/office/drawing/2014/main" id="{1F173B7D-FB48-45AF-A756-4E2EC997B0E7}"/>
            </a:ext>
          </a:extLst>
        </xdr:cNvPr>
        <xdr:cNvSpPr/>
      </xdr:nvSpPr>
      <xdr:spPr bwMode="auto">
        <a:xfrm>
          <a:off x="14382750" y="323805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153</xdr:row>
      <xdr:rowOff>119381</xdr:rowOff>
    </xdr:from>
    <xdr:to>
      <xdr:col>20</xdr:col>
      <xdr:colOff>63500</xdr:colOff>
      <xdr:row>154</xdr:row>
      <xdr:rowOff>1</xdr:rowOff>
    </xdr:to>
    <xdr:sp macro="" textlink="">
      <xdr:nvSpPr>
        <xdr:cNvPr id="836" name="nuNumber: 865" hidden="1">
          <a:extLst>
            <a:ext uri="{FF2B5EF4-FFF2-40B4-BE49-F238E27FC236}">
              <a16:creationId xmlns:a16="http://schemas.microsoft.com/office/drawing/2014/main" id="{8B2D49F5-1BC1-42F8-A64F-F5A74B0965E9}"/>
            </a:ext>
          </a:extLst>
        </xdr:cNvPr>
        <xdr:cNvSpPr/>
      </xdr:nvSpPr>
      <xdr:spPr bwMode="auto">
        <a:xfrm>
          <a:off x="15135225" y="323805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153</xdr:row>
      <xdr:rowOff>119381</xdr:rowOff>
    </xdr:from>
    <xdr:to>
      <xdr:col>21</xdr:col>
      <xdr:colOff>63500</xdr:colOff>
      <xdr:row>154</xdr:row>
      <xdr:rowOff>1</xdr:rowOff>
    </xdr:to>
    <xdr:sp macro="" textlink="">
      <xdr:nvSpPr>
        <xdr:cNvPr id="837" name="nuNumber: 866" hidden="1">
          <a:extLst>
            <a:ext uri="{FF2B5EF4-FFF2-40B4-BE49-F238E27FC236}">
              <a16:creationId xmlns:a16="http://schemas.microsoft.com/office/drawing/2014/main" id="{29931CAE-ADF5-4462-8592-D2B1DEC3709E}"/>
            </a:ext>
          </a:extLst>
        </xdr:cNvPr>
        <xdr:cNvSpPr/>
      </xdr:nvSpPr>
      <xdr:spPr bwMode="auto">
        <a:xfrm>
          <a:off x="15849600" y="323805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157</xdr:row>
      <xdr:rowOff>119380</xdr:rowOff>
    </xdr:from>
    <xdr:to>
      <xdr:col>7</xdr:col>
      <xdr:colOff>63500</xdr:colOff>
      <xdr:row>158</xdr:row>
      <xdr:rowOff>0</xdr:rowOff>
    </xdr:to>
    <xdr:sp macro="" textlink="">
      <xdr:nvSpPr>
        <xdr:cNvPr id="838" name="nuNumber: 867" hidden="1">
          <a:extLst>
            <a:ext uri="{FF2B5EF4-FFF2-40B4-BE49-F238E27FC236}">
              <a16:creationId xmlns:a16="http://schemas.microsoft.com/office/drawing/2014/main" id="{A1F79EBD-D5E2-40E8-92A4-D04926F46D6D}"/>
            </a:ext>
          </a:extLst>
        </xdr:cNvPr>
        <xdr:cNvSpPr/>
      </xdr:nvSpPr>
      <xdr:spPr bwMode="auto">
        <a:xfrm>
          <a:off x="4676775" y="3325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157</xdr:row>
      <xdr:rowOff>119380</xdr:rowOff>
    </xdr:from>
    <xdr:to>
      <xdr:col>8</xdr:col>
      <xdr:colOff>63500</xdr:colOff>
      <xdr:row>158</xdr:row>
      <xdr:rowOff>0</xdr:rowOff>
    </xdr:to>
    <xdr:sp macro="" textlink="">
      <xdr:nvSpPr>
        <xdr:cNvPr id="839" name="nuNumber: 868" hidden="1">
          <a:extLst>
            <a:ext uri="{FF2B5EF4-FFF2-40B4-BE49-F238E27FC236}">
              <a16:creationId xmlns:a16="http://schemas.microsoft.com/office/drawing/2014/main" id="{5F663668-BBEB-4139-B703-A1DADF97D975}"/>
            </a:ext>
          </a:extLst>
        </xdr:cNvPr>
        <xdr:cNvSpPr/>
      </xdr:nvSpPr>
      <xdr:spPr bwMode="auto">
        <a:xfrm>
          <a:off x="5562600" y="3325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157</xdr:row>
      <xdr:rowOff>119380</xdr:rowOff>
    </xdr:from>
    <xdr:to>
      <xdr:col>9</xdr:col>
      <xdr:colOff>63500</xdr:colOff>
      <xdr:row>158</xdr:row>
      <xdr:rowOff>0</xdr:rowOff>
    </xdr:to>
    <xdr:sp macro="" textlink="">
      <xdr:nvSpPr>
        <xdr:cNvPr id="840" name="nuNumber: 869" hidden="1">
          <a:extLst>
            <a:ext uri="{FF2B5EF4-FFF2-40B4-BE49-F238E27FC236}">
              <a16:creationId xmlns:a16="http://schemas.microsoft.com/office/drawing/2014/main" id="{99D9F85E-FFB2-4C07-89E0-50DDB4BBA523}"/>
            </a:ext>
          </a:extLst>
        </xdr:cNvPr>
        <xdr:cNvSpPr/>
      </xdr:nvSpPr>
      <xdr:spPr bwMode="auto">
        <a:xfrm>
          <a:off x="6467475" y="3325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157</xdr:row>
      <xdr:rowOff>119380</xdr:rowOff>
    </xdr:from>
    <xdr:to>
      <xdr:col>11</xdr:col>
      <xdr:colOff>63500</xdr:colOff>
      <xdr:row>158</xdr:row>
      <xdr:rowOff>0</xdr:rowOff>
    </xdr:to>
    <xdr:sp macro="" textlink="">
      <xdr:nvSpPr>
        <xdr:cNvPr id="841" name="nuNumber: 870" hidden="1">
          <a:extLst>
            <a:ext uri="{FF2B5EF4-FFF2-40B4-BE49-F238E27FC236}">
              <a16:creationId xmlns:a16="http://schemas.microsoft.com/office/drawing/2014/main" id="{6080DF4D-473E-42B9-8DCC-1B923C5E6C65}"/>
            </a:ext>
          </a:extLst>
        </xdr:cNvPr>
        <xdr:cNvSpPr/>
      </xdr:nvSpPr>
      <xdr:spPr bwMode="auto">
        <a:xfrm>
          <a:off x="8105775" y="3325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157</xdr:row>
      <xdr:rowOff>119380</xdr:rowOff>
    </xdr:from>
    <xdr:to>
      <xdr:col>12</xdr:col>
      <xdr:colOff>63500</xdr:colOff>
      <xdr:row>158</xdr:row>
      <xdr:rowOff>0</xdr:rowOff>
    </xdr:to>
    <xdr:sp macro="" textlink="">
      <xdr:nvSpPr>
        <xdr:cNvPr id="842" name="nuNumber: 871" hidden="1">
          <a:extLst>
            <a:ext uri="{FF2B5EF4-FFF2-40B4-BE49-F238E27FC236}">
              <a16:creationId xmlns:a16="http://schemas.microsoft.com/office/drawing/2014/main" id="{40B1E652-6E66-45FF-843E-B34535B9FF91}"/>
            </a:ext>
          </a:extLst>
        </xdr:cNvPr>
        <xdr:cNvSpPr/>
      </xdr:nvSpPr>
      <xdr:spPr bwMode="auto">
        <a:xfrm>
          <a:off x="8972550" y="3325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157</xdr:row>
      <xdr:rowOff>119380</xdr:rowOff>
    </xdr:from>
    <xdr:to>
      <xdr:col>13</xdr:col>
      <xdr:colOff>63500</xdr:colOff>
      <xdr:row>158</xdr:row>
      <xdr:rowOff>0</xdr:rowOff>
    </xdr:to>
    <xdr:sp macro="" textlink="">
      <xdr:nvSpPr>
        <xdr:cNvPr id="843" name="nuNumber: 872" hidden="1">
          <a:extLst>
            <a:ext uri="{FF2B5EF4-FFF2-40B4-BE49-F238E27FC236}">
              <a16:creationId xmlns:a16="http://schemas.microsoft.com/office/drawing/2014/main" id="{D0818461-F4A9-4867-8D07-B331BF4F5AA3}"/>
            </a:ext>
          </a:extLst>
        </xdr:cNvPr>
        <xdr:cNvSpPr/>
      </xdr:nvSpPr>
      <xdr:spPr bwMode="auto">
        <a:xfrm>
          <a:off x="9753600" y="3325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157</xdr:row>
      <xdr:rowOff>119380</xdr:rowOff>
    </xdr:from>
    <xdr:to>
      <xdr:col>14</xdr:col>
      <xdr:colOff>63500</xdr:colOff>
      <xdr:row>158</xdr:row>
      <xdr:rowOff>0</xdr:rowOff>
    </xdr:to>
    <xdr:sp macro="" textlink="">
      <xdr:nvSpPr>
        <xdr:cNvPr id="844" name="nuNumber: 873" hidden="1">
          <a:extLst>
            <a:ext uri="{FF2B5EF4-FFF2-40B4-BE49-F238E27FC236}">
              <a16:creationId xmlns:a16="http://schemas.microsoft.com/office/drawing/2014/main" id="{168452C4-2A68-4273-9D69-FEC536D38AB2}"/>
            </a:ext>
          </a:extLst>
        </xdr:cNvPr>
        <xdr:cNvSpPr/>
      </xdr:nvSpPr>
      <xdr:spPr bwMode="auto">
        <a:xfrm>
          <a:off x="10515600" y="3325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157</xdr:row>
      <xdr:rowOff>119380</xdr:rowOff>
    </xdr:from>
    <xdr:to>
      <xdr:col>15</xdr:col>
      <xdr:colOff>63500</xdr:colOff>
      <xdr:row>158</xdr:row>
      <xdr:rowOff>0</xdr:rowOff>
    </xdr:to>
    <xdr:sp macro="" textlink="">
      <xdr:nvSpPr>
        <xdr:cNvPr id="845" name="nuNumber: 874" hidden="1">
          <a:extLst>
            <a:ext uri="{FF2B5EF4-FFF2-40B4-BE49-F238E27FC236}">
              <a16:creationId xmlns:a16="http://schemas.microsoft.com/office/drawing/2014/main" id="{67E78554-A2A5-4A68-BAF9-DA6822D3AE24}"/>
            </a:ext>
          </a:extLst>
        </xdr:cNvPr>
        <xdr:cNvSpPr/>
      </xdr:nvSpPr>
      <xdr:spPr bwMode="auto">
        <a:xfrm>
          <a:off x="11325225" y="3325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157</xdr:row>
      <xdr:rowOff>119380</xdr:rowOff>
    </xdr:from>
    <xdr:to>
      <xdr:col>16</xdr:col>
      <xdr:colOff>63500</xdr:colOff>
      <xdr:row>158</xdr:row>
      <xdr:rowOff>0</xdr:rowOff>
    </xdr:to>
    <xdr:sp macro="" textlink="">
      <xdr:nvSpPr>
        <xdr:cNvPr id="846" name="nuNumber: 875" hidden="1">
          <a:extLst>
            <a:ext uri="{FF2B5EF4-FFF2-40B4-BE49-F238E27FC236}">
              <a16:creationId xmlns:a16="http://schemas.microsoft.com/office/drawing/2014/main" id="{49BC860E-B9A0-45C5-874A-126502AF73B7}"/>
            </a:ext>
          </a:extLst>
        </xdr:cNvPr>
        <xdr:cNvSpPr/>
      </xdr:nvSpPr>
      <xdr:spPr bwMode="auto">
        <a:xfrm>
          <a:off x="12106275" y="3325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157</xdr:row>
      <xdr:rowOff>119380</xdr:rowOff>
    </xdr:from>
    <xdr:to>
      <xdr:col>17</xdr:col>
      <xdr:colOff>63500</xdr:colOff>
      <xdr:row>158</xdr:row>
      <xdr:rowOff>0</xdr:rowOff>
    </xdr:to>
    <xdr:sp macro="" textlink="">
      <xdr:nvSpPr>
        <xdr:cNvPr id="847" name="nuNumber: 876" hidden="1">
          <a:extLst>
            <a:ext uri="{FF2B5EF4-FFF2-40B4-BE49-F238E27FC236}">
              <a16:creationId xmlns:a16="http://schemas.microsoft.com/office/drawing/2014/main" id="{BD8880EB-08B2-429D-9D75-45E14FDFEFB4}"/>
            </a:ext>
          </a:extLst>
        </xdr:cNvPr>
        <xdr:cNvSpPr/>
      </xdr:nvSpPr>
      <xdr:spPr bwMode="auto">
        <a:xfrm>
          <a:off x="12887325" y="3325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157</xdr:row>
      <xdr:rowOff>119380</xdr:rowOff>
    </xdr:from>
    <xdr:to>
      <xdr:col>18</xdr:col>
      <xdr:colOff>63499</xdr:colOff>
      <xdr:row>158</xdr:row>
      <xdr:rowOff>0</xdr:rowOff>
    </xdr:to>
    <xdr:sp macro="" textlink="">
      <xdr:nvSpPr>
        <xdr:cNvPr id="848" name="nuNumber: 877" hidden="1">
          <a:extLst>
            <a:ext uri="{FF2B5EF4-FFF2-40B4-BE49-F238E27FC236}">
              <a16:creationId xmlns:a16="http://schemas.microsoft.com/office/drawing/2014/main" id="{CE6C51BE-B103-4285-A8F1-BFDC69312991}"/>
            </a:ext>
          </a:extLst>
        </xdr:cNvPr>
        <xdr:cNvSpPr/>
      </xdr:nvSpPr>
      <xdr:spPr bwMode="auto">
        <a:xfrm>
          <a:off x="13624559" y="33256855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157</xdr:row>
      <xdr:rowOff>119380</xdr:rowOff>
    </xdr:from>
    <xdr:to>
      <xdr:col>19</xdr:col>
      <xdr:colOff>63500</xdr:colOff>
      <xdr:row>158</xdr:row>
      <xdr:rowOff>0</xdr:rowOff>
    </xdr:to>
    <xdr:sp macro="" textlink="">
      <xdr:nvSpPr>
        <xdr:cNvPr id="849" name="nuNumber: 878" hidden="1">
          <a:extLst>
            <a:ext uri="{FF2B5EF4-FFF2-40B4-BE49-F238E27FC236}">
              <a16:creationId xmlns:a16="http://schemas.microsoft.com/office/drawing/2014/main" id="{C6E52301-AC99-4ED8-8A01-7858BBFCA39C}"/>
            </a:ext>
          </a:extLst>
        </xdr:cNvPr>
        <xdr:cNvSpPr/>
      </xdr:nvSpPr>
      <xdr:spPr bwMode="auto">
        <a:xfrm>
          <a:off x="14382750" y="3325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157</xdr:row>
      <xdr:rowOff>119380</xdr:rowOff>
    </xdr:from>
    <xdr:to>
      <xdr:col>20</xdr:col>
      <xdr:colOff>63500</xdr:colOff>
      <xdr:row>158</xdr:row>
      <xdr:rowOff>0</xdr:rowOff>
    </xdr:to>
    <xdr:sp macro="" textlink="">
      <xdr:nvSpPr>
        <xdr:cNvPr id="850" name="nuNumber: 879" hidden="1">
          <a:extLst>
            <a:ext uri="{FF2B5EF4-FFF2-40B4-BE49-F238E27FC236}">
              <a16:creationId xmlns:a16="http://schemas.microsoft.com/office/drawing/2014/main" id="{B2DB3304-7B65-48DE-9E6D-65BDE88B1C52}"/>
            </a:ext>
          </a:extLst>
        </xdr:cNvPr>
        <xdr:cNvSpPr/>
      </xdr:nvSpPr>
      <xdr:spPr bwMode="auto">
        <a:xfrm>
          <a:off x="15135225" y="3325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157</xdr:row>
      <xdr:rowOff>119380</xdr:rowOff>
    </xdr:from>
    <xdr:to>
      <xdr:col>21</xdr:col>
      <xdr:colOff>63500</xdr:colOff>
      <xdr:row>158</xdr:row>
      <xdr:rowOff>0</xdr:rowOff>
    </xdr:to>
    <xdr:sp macro="" textlink="">
      <xdr:nvSpPr>
        <xdr:cNvPr id="851" name="nuNumber: 880" hidden="1">
          <a:extLst>
            <a:ext uri="{FF2B5EF4-FFF2-40B4-BE49-F238E27FC236}">
              <a16:creationId xmlns:a16="http://schemas.microsoft.com/office/drawing/2014/main" id="{7FC202A3-8674-4BCB-9F29-B731E7C13BCD}"/>
            </a:ext>
          </a:extLst>
        </xdr:cNvPr>
        <xdr:cNvSpPr/>
      </xdr:nvSpPr>
      <xdr:spPr bwMode="auto">
        <a:xfrm>
          <a:off x="15849600" y="3325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158</xdr:row>
      <xdr:rowOff>119379</xdr:rowOff>
    </xdr:from>
    <xdr:to>
      <xdr:col>8</xdr:col>
      <xdr:colOff>63500</xdr:colOff>
      <xdr:row>158</xdr:row>
      <xdr:rowOff>182879</xdr:rowOff>
    </xdr:to>
    <xdr:sp macro="" textlink="">
      <xdr:nvSpPr>
        <xdr:cNvPr id="852" name="nuNumber: 881" hidden="1">
          <a:extLst>
            <a:ext uri="{FF2B5EF4-FFF2-40B4-BE49-F238E27FC236}">
              <a16:creationId xmlns:a16="http://schemas.microsoft.com/office/drawing/2014/main" id="{ADFB5C1C-B2CE-41E4-A3BE-97E9F7890C64}"/>
            </a:ext>
          </a:extLst>
        </xdr:cNvPr>
        <xdr:cNvSpPr/>
      </xdr:nvSpPr>
      <xdr:spPr bwMode="auto">
        <a:xfrm>
          <a:off x="5562600" y="334664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159</xdr:row>
      <xdr:rowOff>119381</xdr:rowOff>
    </xdr:from>
    <xdr:to>
      <xdr:col>8</xdr:col>
      <xdr:colOff>63500</xdr:colOff>
      <xdr:row>160</xdr:row>
      <xdr:rowOff>1</xdr:rowOff>
    </xdr:to>
    <xdr:sp macro="" textlink="">
      <xdr:nvSpPr>
        <xdr:cNvPr id="853" name="nuNumber: 882" hidden="1">
          <a:extLst>
            <a:ext uri="{FF2B5EF4-FFF2-40B4-BE49-F238E27FC236}">
              <a16:creationId xmlns:a16="http://schemas.microsoft.com/office/drawing/2014/main" id="{5C64E9D7-FC22-4552-9062-86DAA1345024}"/>
            </a:ext>
          </a:extLst>
        </xdr:cNvPr>
        <xdr:cNvSpPr/>
      </xdr:nvSpPr>
      <xdr:spPr bwMode="auto">
        <a:xfrm>
          <a:off x="5562600" y="33675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160</xdr:row>
      <xdr:rowOff>119379</xdr:rowOff>
    </xdr:from>
    <xdr:to>
      <xdr:col>8</xdr:col>
      <xdr:colOff>63500</xdr:colOff>
      <xdr:row>160</xdr:row>
      <xdr:rowOff>182879</xdr:rowOff>
    </xdr:to>
    <xdr:sp macro="" textlink="">
      <xdr:nvSpPr>
        <xdr:cNvPr id="854" name="nuNumber: 883" hidden="1">
          <a:extLst>
            <a:ext uri="{FF2B5EF4-FFF2-40B4-BE49-F238E27FC236}">
              <a16:creationId xmlns:a16="http://schemas.microsoft.com/office/drawing/2014/main" id="{36F29628-DB4A-49F8-8C46-EAF333F9EB24}"/>
            </a:ext>
          </a:extLst>
        </xdr:cNvPr>
        <xdr:cNvSpPr/>
      </xdr:nvSpPr>
      <xdr:spPr bwMode="auto">
        <a:xfrm>
          <a:off x="5562600" y="338855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161</xdr:row>
      <xdr:rowOff>119381</xdr:rowOff>
    </xdr:from>
    <xdr:to>
      <xdr:col>8</xdr:col>
      <xdr:colOff>63500</xdr:colOff>
      <xdr:row>162</xdr:row>
      <xdr:rowOff>1</xdr:rowOff>
    </xdr:to>
    <xdr:sp macro="" textlink="">
      <xdr:nvSpPr>
        <xdr:cNvPr id="855" name="nuNumber: 884" hidden="1">
          <a:extLst>
            <a:ext uri="{FF2B5EF4-FFF2-40B4-BE49-F238E27FC236}">
              <a16:creationId xmlns:a16="http://schemas.microsoft.com/office/drawing/2014/main" id="{80C57F76-A86A-4BE6-9729-42DC595428AB}"/>
            </a:ext>
          </a:extLst>
        </xdr:cNvPr>
        <xdr:cNvSpPr/>
      </xdr:nvSpPr>
      <xdr:spPr bwMode="auto">
        <a:xfrm>
          <a:off x="5562600" y="340950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162</xdr:row>
      <xdr:rowOff>119380</xdr:rowOff>
    </xdr:from>
    <xdr:to>
      <xdr:col>8</xdr:col>
      <xdr:colOff>63500</xdr:colOff>
      <xdr:row>163</xdr:row>
      <xdr:rowOff>0</xdr:rowOff>
    </xdr:to>
    <xdr:sp macro="" textlink="">
      <xdr:nvSpPr>
        <xdr:cNvPr id="856" name="nuNumber: 885" hidden="1">
          <a:extLst>
            <a:ext uri="{FF2B5EF4-FFF2-40B4-BE49-F238E27FC236}">
              <a16:creationId xmlns:a16="http://schemas.microsoft.com/office/drawing/2014/main" id="{F041E895-B1FE-4302-850A-1D7C4B1CD43D}"/>
            </a:ext>
          </a:extLst>
        </xdr:cNvPr>
        <xdr:cNvSpPr/>
      </xdr:nvSpPr>
      <xdr:spPr bwMode="auto">
        <a:xfrm>
          <a:off x="5562600" y="343046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163</xdr:row>
      <xdr:rowOff>119379</xdr:rowOff>
    </xdr:from>
    <xdr:to>
      <xdr:col>8</xdr:col>
      <xdr:colOff>63500</xdr:colOff>
      <xdr:row>163</xdr:row>
      <xdr:rowOff>182879</xdr:rowOff>
    </xdr:to>
    <xdr:sp macro="" textlink="">
      <xdr:nvSpPr>
        <xdr:cNvPr id="857" name="nuNumber: 886" hidden="1">
          <a:extLst>
            <a:ext uri="{FF2B5EF4-FFF2-40B4-BE49-F238E27FC236}">
              <a16:creationId xmlns:a16="http://schemas.microsoft.com/office/drawing/2014/main" id="{B25E81CD-0040-4B89-8B58-1C10D467A6C9}"/>
            </a:ext>
          </a:extLst>
        </xdr:cNvPr>
        <xdr:cNvSpPr/>
      </xdr:nvSpPr>
      <xdr:spPr bwMode="auto">
        <a:xfrm>
          <a:off x="5562600" y="345141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164</xdr:row>
      <xdr:rowOff>119381</xdr:rowOff>
    </xdr:from>
    <xdr:to>
      <xdr:col>8</xdr:col>
      <xdr:colOff>63500</xdr:colOff>
      <xdr:row>165</xdr:row>
      <xdr:rowOff>1</xdr:rowOff>
    </xdr:to>
    <xdr:sp macro="" textlink="">
      <xdr:nvSpPr>
        <xdr:cNvPr id="858" name="nuNumber: 887" hidden="1">
          <a:extLst>
            <a:ext uri="{FF2B5EF4-FFF2-40B4-BE49-F238E27FC236}">
              <a16:creationId xmlns:a16="http://schemas.microsoft.com/office/drawing/2014/main" id="{F784BE4D-3B04-4B47-B961-42CD08BEF13A}"/>
            </a:ext>
          </a:extLst>
        </xdr:cNvPr>
        <xdr:cNvSpPr/>
      </xdr:nvSpPr>
      <xdr:spPr bwMode="auto">
        <a:xfrm>
          <a:off x="5562600" y="347237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165</xdr:row>
      <xdr:rowOff>119379</xdr:rowOff>
    </xdr:from>
    <xdr:to>
      <xdr:col>8</xdr:col>
      <xdr:colOff>63500</xdr:colOff>
      <xdr:row>165</xdr:row>
      <xdr:rowOff>182879</xdr:rowOff>
    </xdr:to>
    <xdr:sp macro="" textlink="">
      <xdr:nvSpPr>
        <xdr:cNvPr id="859" name="nuNumber: 888" hidden="1">
          <a:extLst>
            <a:ext uri="{FF2B5EF4-FFF2-40B4-BE49-F238E27FC236}">
              <a16:creationId xmlns:a16="http://schemas.microsoft.com/office/drawing/2014/main" id="{C1AB99EB-7F9A-4B86-957C-24F27BC803A0}"/>
            </a:ext>
          </a:extLst>
        </xdr:cNvPr>
        <xdr:cNvSpPr/>
      </xdr:nvSpPr>
      <xdr:spPr bwMode="auto">
        <a:xfrm>
          <a:off x="5562600" y="349332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166</xdr:row>
      <xdr:rowOff>119381</xdr:rowOff>
    </xdr:from>
    <xdr:to>
      <xdr:col>8</xdr:col>
      <xdr:colOff>63500</xdr:colOff>
      <xdr:row>167</xdr:row>
      <xdr:rowOff>1</xdr:rowOff>
    </xdr:to>
    <xdr:sp macro="" textlink="">
      <xdr:nvSpPr>
        <xdr:cNvPr id="860" name="nuNumber: 889" hidden="1">
          <a:extLst>
            <a:ext uri="{FF2B5EF4-FFF2-40B4-BE49-F238E27FC236}">
              <a16:creationId xmlns:a16="http://schemas.microsoft.com/office/drawing/2014/main" id="{9E03460B-C16F-40CE-9152-0B497D28D9B8}"/>
            </a:ext>
          </a:extLst>
        </xdr:cNvPr>
        <xdr:cNvSpPr/>
      </xdr:nvSpPr>
      <xdr:spPr bwMode="auto">
        <a:xfrm>
          <a:off x="5562600" y="351428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171</xdr:row>
      <xdr:rowOff>119379</xdr:rowOff>
    </xdr:from>
    <xdr:to>
      <xdr:col>6</xdr:col>
      <xdr:colOff>63500</xdr:colOff>
      <xdr:row>171</xdr:row>
      <xdr:rowOff>182879</xdr:rowOff>
    </xdr:to>
    <xdr:sp macro="" textlink="">
      <xdr:nvSpPr>
        <xdr:cNvPr id="861" name="nuNumber: 890" hidden="1">
          <a:extLst>
            <a:ext uri="{FF2B5EF4-FFF2-40B4-BE49-F238E27FC236}">
              <a16:creationId xmlns:a16="http://schemas.microsoft.com/office/drawing/2014/main" id="{BFA79934-F514-4B33-AD60-5383A6723F0D}"/>
            </a:ext>
          </a:extLst>
        </xdr:cNvPr>
        <xdr:cNvSpPr/>
      </xdr:nvSpPr>
      <xdr:spPr bwMode="auto">
        <a:xfrm>
          <a:off x="3800475" y="361905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171</xdr:row>
      <xdr:rowOff>119379</xdr:rowOff>
    </xdr:from>
    <xdr:to>
      <xdr:col>7</xdr:col>
      <xdr:colOff>63500</xdr:colOff>
      <xdr:row>171</xdr:row>
      <xdr:rowOff>182879</xdr:rowOff>
    </xdr:to>
    <xdr:sp macro="" textlink="">
      <xdr:nvSpPr>
        <xdr:cNvPr id="862" name="nuNumber: 891" hidden="1">
          <a:extLst>
            <a:ext uri="{FF2B5EF4-FFF2-40B4-BE49-F238E27FC236}">
              <a16:creationId xmlns:a16="http://schemas.microsoft.com/office/drawing/2014/main" id="{1E221B8B-E868-4530-AD04-72C4AF576CD3}"/>
            </a:ext>
          </a:extLst>
        </xdr:cNvPr>
        <xdr:cNvSpPr/>
      </xdr:nvSpPr>
      <xdr:spPr bwMode="auto">
        <a:xfrm>
          <a:off x="4676775" y="361905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171</xdr:row>
      <xdr:rowOff>119379</xdr:rowOff>
    </xdr:from>
    <xdr:to>
      <xdr:col>8</xdr:col>
      <xdr:colOff>63500</xdr:colOff>
      <xdr:row>171</xdr:row>
      <xdr:rowOff>182879</xdr:rowOff>
    </xdr:to>
    <xdr:sp macro="" textlink="">
      <xdr:nvSpPr>
        <xdr:cNvPr id="863" name="nuNumber: 892" hidden="1">
          <a:extLst>
            <a:ext uri="{FF2B5EF4-FFF2-40B4-BE49-F238E27FC236}">
              <a16:creationId xmlns:a16="http://schemas.microsoft.com/office/drawing/2014/main" id="{5A6590B5-110E-42F8-AE54-45AECBC43DCE}"/>
            </a:ext>
          </a:extLst>
        </xdr:cNvPr>
        <xdr:cNvSpPr/>
      </xdr:nvSpPr>
      <xdr:spPr bwMode="auto">
        <a:xfrm>
          <a:off x="5562600" y="361905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171</xdr:row>
      <xdr:rowOff>119379</xdr:rowOff>
    </xdr:from>
    <xdr:to>
      <xdr:col>9</xdr:col>
      <xdr:colOff>63500</xdr:colOff>
      <xdr:row>171</xdr:row>
      <xdr:rowOff>182879</xdr:rowOff>
    </xdr:to>
    <xdr:sp macro="" textlink="">
      <xdr:nvSpPr>
        <xdr:cNvPr id="864" name="nuNumber: 893" hidden="1">
          <a:extLst>
            <a:ext uri="{FF2B5EF4-FFF2-40B4-BE49-F238E27FC236}">
              <a16:creationId xmlns:a16="http://schemas.microsoft.com/office/drawing/2014/main" id="{E82AC38C-D3C5-4886-A7A3-B39690295591}"/>
            </a:ext>
          </a:extLst>
        </xdr:cNvPr>
        <xdr:cNvSpPr/>
      </xdr:nvSpPr>
      <xdr:spPr bwMode="auto">
        <a:xfrm>
          <a:off x="6467475" y="361905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171</xdr:row>
      <xdr:rowOff>119379</xdr:rowOff>
    </xdr:from>
    <xdr:to>
      <xdr:col>9</xdr:col>
      <xdr:colOff>63500</xdr:colOff>
      <xdr:row>171</xdr:row>
      <xdr:rowOff>182879</xdr:rowOff>
    </xdr:to>
    <xdr:sp macro="" textlink="">
      <xdr:nvSpPr>
        <xdr:cNvPr id="865" name="nuNumber: 894" hidden="1">
          <a:extLst>
            <a:ext uri="{FF2B5EF4-FFF2-40B4-BE49-F238E27FC236}">
              <a16:creationId xmlns:a16="http://schemas.microsoft.com/office/drawing/2014/main" id="{BA3C4068-9F7F-4348-9338-101AF433CBC2}"/>
            </a:ext>
          </a:extLst>
        </xdr:cNvPr>
        <xdr:cNvSpPr/>
      </xdr:nvSpPr>
      <xdr:spPr bwMode="auto">
        <a:xfrm>
          <a:off x="6467475" y="361905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171</xdr:row>
      <xdr:rowOff>119379</xdr:rowOff>
    </xdr:from>
    <xdr:to>
      <xdr:col>10</xdr:col>
      <xdr:colOff>63500</xdr:colOff>
      <xdr:row>171</xdr:row>
      <xdr:rowOff>182879</xdr:rowOff>
    </xdr:to>
    <xdr:sp macro="" textlink="">
      <xdr:nvSpPr>
        <xdr:cNvPr id="866" name="nuNumber: 895" hidden="1">
          <a:extLst>
            <a:ext uri="{FF2B5EF4-FFF2-40B4-BE49-F238E27FC236}">
              <a16:creationId xmlns:a16="http://schemas.microsoft.com/office/drawing/2014/main" id="{D5F97A95-8CC5-4DD3-8D82-18A3D32D14F6}"/>
            </a:ext>
          </a:extLst>
        </xdr:cNvPr>
        <xdr:cNvSpPr/>
      </xdr:nvSpPr>
      <xdr:spPr bwMode="auto">
        <a:xfrm>
          <a:off x="7315200" y="361905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171</xdr:row>
      <xdr:rowOff>119379</xdr:rowOff>
    </xdr:from>
    <xdr:to>
      <xdr:col>11</xdr:col>
      <xdr:colOff>63500</xdr:colOff>
      <xdr:row>171</xdr:row>
      <xdr:rowOff>182879</xdr:rowOff>
    </xdr:to>
    <xdr:sp macro="" textlink="">
      <xdr:nvSpPr>
        <xdr:cNvPr id="867" name="nuNumber: 896" hidden="1">
          <a:extLst>
            <a:ext uri="{FF2B5EF4-FFF2-40B4-BE49-F238E27FC236}">
              <a16:creationId xmlns:a16="http://schemas.microsoft.com/office/drawing/2014/main" id="{F9673D1A-3412-42DF-8F58-D1BB18D0C23F}"/>
            </a:ext>
          </a:extLst>
        </xdr:cNvPr>
        <xdr:cNvSpPr/>
      </xdr:nvSpPr>
      <xdr:spPr bwMode="auto">
        <a:xfrm>
          <a:off x="8105775" y="361905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171</xdr:row>
      <xdr:rowOff>119379</xdr:rowOff>
    </xdr:from>
    <xdr:to>
      <xdr:col>12</xdr:col>
      <xdr:colOff>63500</xdr:colOff>
      <xdr:row>171</xdr:row>
      <xdr:rowOff>182879</xdr:rowOff>
    </xdr:to>
    <xdr:sp macro="" textlink="">
      <xdr:nvSpPr>
        <xdr:cNvPr id="868" name="nuNumber: 897" hidden="1">
          <a:extLst>
            <a:ext uri="{FF2B5EF4-FFF2-40B4-BE49-F238E27FC236}">
              <a16:creationId xmlns:a16="http://schemas.microsoft.com/office/drawing/2014/main" id="{9580880E-6B6C-4334-B585-8641D81B389A}"/>
            </a:ext>
          </a:extLst>
        </xdr:cNvPr>
        <xdr:cNvSpPr/>
      </xdr:nvSpPr>
      <xdr:spPr bwMode="auto">
        <a:xfrm>
          <a:off x="8972550" y="361905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171</xdr:row>
      <xdr:rowOff>119379</xdr:rowOff>
    </xdr:from>
    <xdr:to>
      <xdr:col>13</xdr:col>
      <xdr:colOff>63500</xdr:colOff>
      <xdr:row>171</xdr:row>
      <xdr:rowOff>182879</xdr:rowOff>
    </xdr:to>
    <xdr:sp macro="" textlink="">
      <xdr:nvSpPr>
        <xdr:cNvPr id="869" name="nuNumber: 898" hidden="1">
          <a:extLst>
            <a:ext uri="{FF2B5EF4-FFF2-40B4-BE49-F238E27FC236}">
              <a16:creationId xmlns:a16="http://schemas.microsoft.com/office/drawing/2014/main" id="{0A844C47-0B61-43D6-A260-FC54966A3F7B}"/>
            </a:ext>
          </a:extLst>
        </xdr:cNvPr>
        <xdr:cNvSpPr/>
      </xdr:nvSpPr>
      <xdr:spPr bwMode="auto">
        <a:xfrm>
          <a:off x="9753600" y="361905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171</xdr:row>
      <xdr:rowOff>119379</xdr:rowOff>
    </xdr:from>
    <xdr:to>
      <xdr:col>14</xdr:col>
      <xdr:colOff>63500</xdr:colOff>
      <xdr:row>171</xdr:row>
      <xdr:rowOff>182879</xdr:rowOff>
    </xdr:to>
    <xdr:sp macro="" textlink="">
      <xdr:nvSpPr>
        <xdr:cNvPr id="870" name="nuNumber: 899" hidden="1">
          <a:extLst>
            <a:ext uri="{FF2B5EF4-FFF2-40B4-BE49-F238E27FC236}">
              <a16:creationId xmlns:a16="http://schemas.microsoft.com/office/drawing/2014/main" id="{3B61B95D-4B9D-473C-9668-18EBBAF2FF40}"/>
            </a:ext>
          </a:extLst>
        </xdr:cNvPr>
        <xdr:cNvSpPr/>
      </xdr:nvSpPr>
      <xdr:spPr bwMode="auto">
        <a:xfrm>
          <a:off x="10515600" y="361905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171</xdr:row>
      <xdr:rowOff>119379</xdr:rowOff>
    </xdr:from>
    <xdr:to>
      <xdr:col>15</xdr:col>
      <xdr:colOff>63500</xdr:colOff>
      <xdr:row>171</xdr:row>
      <xdr:rowOff>182879</xdr:rowOff>
    </xdr:to>
    <xdr:sp macro="" textlink="">
      <xdr:nvSpPr>
        <xdr:cNvPr id="871" name="nuNumber: 900" hidden="1">
          <a:extLst>
            <a:ext uri="{FF2B5EF4-FFF2-40B4-BE49-F238E27FC236}">
              <a16:creationId xmlns:a16="http://schemas.microsoft.com/office/drawing/2014/main" id="{1DC63309-D114-488F-935A-86B90218A6A5}"/>
            </a:ext>
          </a:extLst>
        </xdr:cNvPr>
        <xdr:cNvSpPr/>
      </xdr:nvSpPr>
      <xdr:spPr bwMode="auto">
        <a:xfrm>
          <a:off x="11325225" y="361905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171</xdr:row>
      <xdr:rowOff>119379</xdr:rowOff>
    </xdr:from>
    <xdr:to>
      <xdr:col>16</xdr:col>
      <xdr:colOff>63500</xdr:colOff>
      <xdr:row>171</xdr:row>
      <xdr:rowOff>182879</xdr:rowOff>
    </xdr:to>
    <xdr:sp macro="" textlink="">
      <xdr:nvSpPr>
        <xdr:cNvPr id="872" name="nuNumber: 901" hidden="1">
          <a:extLst>
            <a:ext uri="{FF2B5EF4-FFF2-40B4-BE49-F238E27FC236}">
              <a16:creationId xmlns:a16="http://schemas.microsoft.com/office/drawing/2014/main" id="{CDC01E5C-4397-4425-BC33-3951353875A6}"/>
            </a:ext>
          </a:extLst>
        </xdr:cNvPr>
        <xdr:cNvSpPr/>
      </xdr:nvSpPr>
      <xdr:spPr bwMode="auto">
        <a:xfrm>
          <a:off x="12106275" y="361905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171</xdr:row>
      <xdr:rowOff>119379</xdr:rowOff>
    </xdr:from>
    <xdr:to>
      <xdr:col>17</xdr:col>
      <xdr:colOff>63500</xdr:colOff>
      <xdr:row>171</xdr:row>
      <xdr:rowOff>182879</xdr:rowOff>
    </xdr:to>
    <xdr:sp macro="" textlink="">
      <xdr:nvSpPr>
        <xdr:cNvPr id="873" name="nuNumber: 902" hidden="1">
          <a:extLst>
            <a:ext uri="{FF2B5EF4-FFF2-40B4-BE49-F238E27FC236}">
              <a16:creationId xmlns:a16="http://schemas.microsoft.com/office/drawing/2014/main" id="{166C7666-3368-4A03-A504-0C2E21789B93}"/>
            </a:ext>
          </a:extLst>
        </xdr:cNvPr>
        <xdr:cNvSpPr/>
      </xdr:nvSpPr>
      <xdr:spPr bwMode="auto">
        <a:xfrm>
          <a:off x="12887325" y="361905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171</xdr:row>
      <xdr:rowOff>119379</xdr:rowOff>
    </xdr:from>
    <xdr:to>
      <xdr:col>18</xdr:col>
      <xdr:colOff>63499</xdr:colOff>
      <xdr:row>171</xdr:row>
      <xdr:rowOff>182879</xdr:rowOff>
    </xdr:to>
    <xdr:sp macro="" textlink="">
      <xdr:nvSpPr>
        <xdr:cNvPr id="874" name="nuNumber: 903" hidden="1">
          <a:extLst>
            <a:ext uri="{FF2B5EF4-FFF2-40B4-BE49-F238E27FC236}">
              <a16:creationId xmlns:a16="http://schemas.microsoft.com/office/drawing/2014/main" id="{27F5A097-1977-4D11-AE77-7E88CFB59D7A}"/>
            </a:ext>
          </a:extLst>
        </xdr:cNvPr>
        <xdr:cNvSpPr/>
      </xdr:nvSpPr>
      <xdr:spPr bwMode="auto">
        <a:xfrm>
          <a:off x="13624559" y="36190554"/>
          <a:ext cx="5969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171</xdr:row>
      <xdr:rowOff>119379</xdr:rowOff>
    </xdr:from>
    <xdr:to>
      <xdr:col>19</xdr:col>
      <xdr:colOff>63500</xdr:colOff>
      <xdr:row>171</xdr:row>
      <xdr:rowOff>182879</xdr:rowOff>
    </xdr:to>
    <xdr:sp macro="" textlink="">
      <xdr:nvSpPr>
        <xdr:cNvPr id="875" name="nuNumber: 904" hidden="1">
          <a:extLst>
            <a:ext uri="{FF2B5EF4-FFF2-40B4-BE49-F238E27FC236}">
              <a16:creationId xmlns:a16="http://schemas.microsoft.com/office/drawing/2014/main" id="{9E9E5F4B-EB1B-4A08-B1CE-15AA5B037EF5}"/>
            </a:ext>
          </a:extLst>
        </xdr:cNvPr>
        <xdr:cNvSpPr/>
      </xdr:nvSpPr>
      <xdr:spPr bwMode="auto">
        <a:xfrm>
          <a:off x="14382750" y="361905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172</xdr:row>
      <xdr:rowOff>119381</xdr:rowOff>
    </xdr:from>
    <xdr:to>
      <xdr:col>7</xdr:col>
      <xdr:colOff>63500</xdr:colOff>
      <xdr:row>173</xdr:row>
      <xdr:rowOff>1</xdr:rowOff>
    </xdr:to>
    <xdr:sp macro="" textlink="">
      <xdr:nvSpPr>
        <xdr:cNvPr id="876" name="nuNumber: 905" hidden="1">
          <a:extLst>
            <a:ext uri="{FF2B5EF4-FFF2-40B4-BE49-F238E27FC236}">
              <a16:creationId xmlns:a16="http://schemas.microsoft.com/office/drawing/2014/main" id="{534BE299-7ACC-4846-93B2-A3A198110667}"/>
            </a:ext>
          </a:extLst>
        </xdr:cNvPr>
        <xdr:cNvSpPr/>
      </xdr:nvSpPr>
      <xdr:spPr bwMode="auto">
        <a:xfrm>
          <a:off x="4676775" y="36400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172</xdr:row>
      <xdr:rowOff>119381</xdr:rowOff>
    </xdr:from>
    <xdr:to>
      <xdr:col>9</xdr:col>
      <xdr:colOff>63500</xdr:colOff>
      <xdr:row>173</xdr:row>
      <xdr:rowOff>1</xdr:rowOff>
    </xdr:to>
    <xdr:sp macro="" textlink="">
      <xdr:nvSpPr>
        <xdr:cNvPr id="877" name="nuNumber: 906" hidden="1">
          <a:extLst>
            <a:ext uri="{FF2B5EF4-FFF2-40B4-BE49-F238E27FC236}">
              <a16:creationId xmlns:a16="http://schemas.microsoft.com/office/drawing/2014/main" id="{8C6D3174-E4F5-4F09-93F0-667D0F709A5B}"/>
            </a:ext>
          </a:extLst>
        </xdr:cNvPr>
        <xdr:cNvSpPr/>
      </xdr:nvSpPr>
      <xdr:spPr bwMode="auto">
        <a:xfrm>
          <a:off x="6467475" y="36400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172</xdr:row>
      <xdr:rowOff>119381</xdr:rowOff>
    </xdr:from>
    <xdr:to>
      <xdr:col>11</xdr:col>
      <xdr:colOff>63500</xdr:colOff>
      <xdr:row>173</xdr:row>
      <xdr:rowOff>1</xdr:rowOff>
    </xdr:to>
    <xdr:sp macro="" textlink="">
      <xdr:nvSpPr>
        <xdr:cNvPr id="878" name="nuNumber: 907" hidden="1">
          <a:extLst>
            <a:ext uri="{FF2B5EF4-FFF2-40B4-BE49-F238E27FC236}">
              <a16:creationId xmlns:a16="http://schemas.microsoft.com/office/drawing/2014/main" id="{4847E902-926B-4083-BFA9-ADB726EF29E5}"/>
            </a:ext>
          </a:extLst>
        </xdr:cNvPr>
        <xdr:cNvSpPr/>
      </xdr:nvSpPr>
      <xdr:spPr bwMode="auto">
        <a:xfrm>
          <a:off x="8105775" y="36400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172</xdr:row>
      <xdr:rowOff>119381</xdr:rowOff>
    </xdr:from>
    <xdr:to>
      <xdr:col>12</xdr:col>
      <xdr:colOff>63500</xdr:colOff>
      <xdr:row>173</xdr:row>
      <xdr:rowOff>1</xdr:rowOff>
    </xdr:to>
    <xdr:sp macro="" textlink="">
      <xdr:nvSpPr>
        <xdr:cNvPr id="879" name="nuNumber: 908" hidden="1">
          <a:extLst>
            <a:ext uri="{FF2B5EF4-FFF2-40B4-BE49-F238E27FC236}">
              <a16:creationId xmlns:a16="http://schemas.microsoft.com/office/drawing/2014/main" id="{A95A40DF-5955-4355-8933-5889A4E10ED2}"/>
            </a:ext>
          </a:extLst>
        </xdr:cNvPr>
        <xdr:cNvSpPr/>
      </xdr:nvSpPr>
      <xdr:spPr bwMode="auto">
        <a:xfrm>
          <a:off x="8972550" y="36400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172</xdr:row>
      <xdr:rowOff>119381</xdr:rowOff>
    </xdr:from>
    <xdr:to>
      <xdr:col>13</xdr:col>
      <xdr:colOff>63500</xdr:colOff>
      <xdr:row>173</xdr:row>
      <xdr:rowOff>1</xdr:rowOff>
    </xdr:to>
    <xdr:sp macro="" textlink="">
      <xdr:nvSpPr>
        <xdr:cNvPr id="880" name="nuNumber: 909" hidden="1">
          <a:extLst>
            <a:ext uri="{FF2B5EF4-FFF2-40B4-BE49-F238E27FC236}">
              <a16:creationId xmlns:a16="http://schemas.microsoft.com/office/drawing/2014/main" id="{B652070C-0B78-4827-BBC6-07C05EFEE43C}"/>
            </a:ext>
          </a:extLst>
        </xdr:cNvPr>
        <xdr:cNvSpPr/>
      </xdr:nvSpPr>
      <xdr:spPr bwMode="auto">
        <a:xfrm>
          <a:off x="9753600" y="36400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172</xdr:row>
      <xdr:rowOff>119381</xdr:rowOff>
    </xdr:from>
    <xdr:to>
      <xdr:col>14</xdr:col>
      <xdr:colOff>63500</xdr:colOff>
      <xdr:row>173</xdr:row>
      <xdr:rowOff>1</xdr:rowOff>
    </xdr:to>
    <xdr:sp macro="" textlink="">
      <xdr:nvSpPr>
        <xdr:cNvPr id="881" name="nuNumber: 910" hidden="1">
          <a:extLst>
            <a:ext uri="{FF2B5EF4-FFF2-40B4-BE49-F238E27FC236}">
              <a16:creationId xmlns:a16="http://schemas.microsoft.com/office/drawing/2014/main" id="{D804B8D4-99DB-4FB0-A31E-8EC2DBB0DA3A}"/>
            </a:ext>
          </a:extLst>
        </xdr:cNvPr>
        <xdr:cNvSpPr/>
      </xdr:nvSpPr>
      <xdr:spPr bwMode="auto">
        <a:xfrm>
          <a:off x="10515600" y="36400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172</xdr:row>
      <xdr:rowOff>119381</xdr:rowOff>
    </xdr:from>
    <xdr:to>
      <xdr:col>15</xdr:col>
      <xdr:colOff>63500</xdr:colOff>
      <xdr:row>173</xdr:row>
      <xdr:rowOff>1</xdr:rowOff>
    </xdr:to>
    <xdr:sp macro="" textlink="">
      <xdr:nvSpPr>
        <xdr:cNvPr id="882" name="nuNumber: 911" hidden="1">
          <a:extLst>
            <a:ext uri="{FF2B5EF4-FFF2-40B4-BE49-F238E27FC236}">
              <a16:creationId xmlns:a16="http://schemas.microsoft.com/office/drawing/2014/main" id="{3BB5D009-7E2F-4270-A367-B121BC890B18}"/>
            </a:ext>
          </a:extLst>
        </xdr:cNvPr>
        <xdr:cNvSpPr/>
      </xdr:nvSpPr>
      <xdr:spPr bwMode="auto">
        <a:xfrm>
          <a:off x="11325225" y="36400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172</xdr:row>
      <xdr:rowOff>119381</xdr:rowOff>
    </xdr:from>
    <xdr:to>
      <xdr:col>16</xdr:col>
      <xdr:colOff>63500</xdr:colOff>
      <xdr:row>173</xdr:row>
      <xdr:rowOff>1</xdr:rowOff>
    </xdr:to>
    <xdr:sp macro="" textlink="">
      <xdr:nvSpPr>
        <xdr:cNvPr id="883" name="nuNumber: 912" hidden="1">
          <a:extLst>
            <a:ext uri="{FF2B5EF4-FFF2-40B4-BE49-F238E27FC236}">
              <a16:creationId xmlns:a16="http://schemas.microsoft.com/office/drawing/2014/main" id="{DCA9A270-E94A-4770-9AC1-6424C3A725F0}"/>
            </a:ext>
          </a:extLst>
        </xdr:cNvPr>
        <xdr:cNvSpPr/>
      </xdr:nvSpPr>
      <xdr:spPr bwMode="auto">
        <a:xfrm>
          <a:off x="12106275" y="36400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172</xdr:row>
      <xdr:rowOff>119381</xdr:rowOff>
    </xdr:from>
    <xdr:to>
      <xdr:col>17</xdr:col>
      <xdr:colOff>63500</xdr:colOff>
      <xdr:row>173</xdr:row>
      <xdr:rowOff>1</xdr:rowOff>
    </xdr:to>
    <xdr:sp macro="" textlink="">
      <xdr:nvSpPr>
        <xdr:cNvPr id="884" name="nuNumber: 913" hidden="1">
          <a:extLst>
            <a:ext uri="{FF2B5EF4-FFF2-40B4-BE49-F238E27FC236}">
              <a16:creationId xmlns:a16="http://schemas.microsoft.com/office/drawing/2014/main" id="{858740F2-189A-4409-8DDA-2AAD610A734E}"/>
            </a:ext>
          </a:extLst>
        </xdr:cNvPr>
        <xdr:cNvSpPr/>
      </xdr:nvSpPr>
      <xdr:spPr bwMode="auto">
        <a:xfrm>
          <a:off x="12887325" y="36400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172</xdr:row>
      <xdr:rowOff>119381</xdr:rowOff>
    </xdr:from>
    <xdr:to>
      <xdr:col>18</xdr:col>
      <xdr:colOff>63499</xdr:colOff>
      <xdr:row>173</xdr:row>
      <xdr:rowOff>1</xdr:rowOff>
    </xdr:to>
    <xdr:sp macro="" textlink="">
      <xdr:nvSpPr>
        <xdr:cNvPr id="885" name="nuNumber: 914" hidden="1">
          <a:extLst>
            <a:ext uri="{FF2B5EF4-FFF2-40B4-BE49-F238E27FC236}">
              <a16:creationId xmlns:a16="http://schemas.microsoft.com/office/drawing/2014/main" id="{8F0FB73C-CFD0-4A3C-B018-D3300C188F70}"/>
            </a:ext>
          </a:extLst>
        </xdr:cNvPr>
        <xdr:cNvSpPr/>
      </xdr:nvSpPr>
      <xdr:spPr bwMode="auto">
        <a:xfrm>
          <a:off x="13624559" y="36400106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172</xdr:row>
      <xdr:rowOff>119381</xdr:rowOff>
    </xdr:from>
    <xdr:to>
      <xdr:col>19</xdr:col>
      <xdr:colOff>63500</xdr:colOff>
      <xdr:row>173</xdr:row>
      <xdr:rowOff>1</xdr:rowOff>
    </xdr:to>
    <xdr:sp macro="" textlink="">
      <xdr:nvSpPr>
        <xdr:cNvPr id="886" name="nuNumber: 915" hidden="1">
          <a:extLst>
            <a:ext uri="{FF2B5EF4-FFF2-40B4-BE49-F238E27FC236}">
              <a16:creationId xmlns:a16="http://schemas.microsoft.com/office/drawing/2014/main" id="{CDC630C1-413B-41D7-BC60-BB3BF585080A}"/>
            </a:ext>
          </a:extLst>
        </xdr:cNvPr>
        <xdr:cNvSpPr/>
      </xdr:nvSpPr>
      <xdr:spPr bwMode="auto">
        <a:xfrm>
          <a:off x="14382750" y="36400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172</xdr:row>
      <xdr:rowOff>119381</xdr:rowOff>
    </xdr:from>
    <xdr:to>
      <xdr:col>20</xdr:col>
      <xdr:colOff>63500</xdr:colOff>
      <xdr:row>173</xdr:row>
      <xdr:rowOff>1</xdr:rowOff>
    </xdr:to>
    <xdr:sp macro="" textlink="">
      <xdr:nvSpPr>
        <xdr:cNvPr id="887" name="nuNumber: 916" hidden="1">
          <a:extLst>
            <a:ext uri="{FF2B5EF4-FFF2-40B4-BE49-F238E27FC236}">
              <a16:creationId xmlns:a16="http://schemas.microsoft.com/office/drawing/2014/main" id="{A51447FB-446C-4F59-8A73-50F7D7AB0F54}"/>
            </a:ext>
          </a:extLst>
        </xdr:cNvPr>
        <xdr:cNvSpPr/>
      </xdr:nvSpPr>
      <xdr:spPr bwMode="auto">
        <a:xfrm>
          <a:off x="15135225" y="36400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172</xdr:row>
      <xdr:rowOff>119381</xdr:rowOff>
    </xdr:from>
    <xdr:to>
      <xdr:col>21</xdr:col>
      <xdr:colOff>63500</xdr:colOff>
      <xdr:row>173</xdr:row>
      <xdr:rowOff>1</xdr:rowOff>
    </xdr:to>
    <xdr:sp macro="" textlink="">
      <xdr:nvSpPr>
        <xdr:cNvPr id="888" name="nuNumber: 917" hidden="1">
          <a:extLst>
            <a:ext uri="{FF2B5EF4-FFF2-40B4-BE49-F238E27FC236}">
              <a16:creationId xmlns:a16="http://schemas.microsoft.com/office/drawing/2014/main" id="{B8B8EA4B-D0BE-47CC-87A0-EFD1FBE341A5}"/>
            </a:ext>
          </a:extLst>
        </xdr:cNvPr>
        <xdr:cNvSpPr/>
      </xdr:nvSpPr>
      <xdr:spPr bwMode="auto">
        <a:xfrm>
          <a:off x="15849600" y="36400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209</xdr:row>
      <xdr:rowOff>119381</xdr:rowOff>
    </xdr:from>
    <xdr:to>
      <xdr:col>6</xdr:col>
      <xdr:colOff>63500</xdr:colOff>
      <xdr:row>210</xdr:row>
      <xdr:rowOff>1</xdr:rowOff>
    </xdr:to>
    <xdr:sp macro="" textlink="">
      <xdr:nvSpPr>
        <xdr:cNvPr id="889" name="nuNumber: 918" hidden="1">
          <a:extLst>
            <a:ext uri="{FF2B5EF4-FFF2-40B4-BE49-F238E27FC236}">
              <a16:creationId xmlns:a16="http://schemas.microsoft.com/office/drawing/2014/main" id="{3B589408-E020-4420-B60A-6CB20F00D642}"/>
            </a:ext>
          </a:extLst>
        </xdr:cNvPr>
        <xdr:cNvSpPr/>
      </xdr:nvSpPr>
      <xdr:spPr bwMode="auto">
        <a:xfrm>
          <a:off x="3800475" y="448202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209</xdr:row>
      <xdr:rowOff>119381</xdr:rowOff>
    </xdr:from>
    <xdr:to>
      <xdr:col>7</xdr:col>
      <xdr:colOff>63500</xdr:colOff>
      <xdr:row>210</xdr:row>
      <xdr:rowOff>1</xdr:rowOff>
    </xdr:to>
    <xdr:sp macro="" textlink="">
      <xdr:nvSpPr>
        <xdr:cNvPr id="890" name="nuNumber: 919" hidden="1">
          <a:extLst>
            <a:ext uri="{FF2B5EF4-FFF2-40B4-BE49-F238E27FC236}">
              <a16:creationId xmlns:a16="http://schemas.microsoft.com/office/drawing/2014/main" id="{273773F3-B6ED-4308-9AB3-C10CF5B220D6}"/>
            </a:ext>
          </a:extLst>
        </xdr:cNvPr>
        <xdr:cNvSpPr/>
      </xdr:nvSpPr>
      <xdr:spPr bwMode="auto">
        <a:xfrm>
          <a:off x="4676775" y="448202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209</xdr:row>
      <xdr:rowOff>119381</xdr:rowOff>
    </xdr:from>
    <xdr:to>
      <xdr:col>8</xdr:col>
      <xdr:colOff>63500</xdr:colOff>
      <xdr:row>210</xdr:row>
      <xdr:rowOff>1</xdr:rowOff>
    </xdr:to>
    <xdr:sp macro="" textlink="">
      <xdr:nvSpPr>
        <xdr:cNvPr id="891" name="nuNumber: 920" hidden="1">
          <a:extLst>
            <a:ext uri="{FF2B5EF4-FFF2-40B4-BE49-F238E27FC236}">
              <a16:creationId xmlns:a16="http://schemas.microsoft.com/office/drawing/2014/main" id="{981EEBFF-4AA0-48EA-86E4-49ABAA4DB431}"/>
            </a:ext>
          </a:extLst>
        </xdr:cNvPr>
        <xdr:cNvSpPr/>
      </xdr:nvSpPr>
      <xdr:spPr bwMode="auto">
        <a:xfrm>
          <a:off x="5562600" y="448202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209</xdr:row>
      <xdr:rowOff>119381</xdr:rowOff>
    </xdr:from>
    <xdr:to>
      <xdr:col>9</xdr:col>
      <xdr:colOff>63500</xdr:colOff>
      <xdr:row>210</xdr:row>
      <xdr:rowOff>1</xdr:rowOff>
    </xdr:to>
    <xdr:sp macro="" textlink="">
      <xdr:nvSpPr>
        <xdr:cNvPr id="892" name="nuNumber: 921" hidden="1">
          <a:extLst>
            <a:ext uri="{FF2B5EF4-FFF2-40B4-BE49-F238E27FC236}">
              <a16:creationId xmlns:a16="http://schemas.microsoft.com/office/drawing/2014/main" id="{D372D4F6-601A-4E7D-B68E-50FA9D7A0E57}"/>
            </a:ext>
          </a:extLst>
        </xdr:cNvPr>
        <xdr:cNvSpPr/>
      </xdr:nvSpPr>
      <xdr:spPr bwMode="auto">
        <a:xfrm>
          <a:off x="6467475" y="448202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230</xdr:row>
      <xdr:rowOff>119379</xdr:rowOff>
    </xdr:from>
    <xdr:to>
      <xdr:col>8</xdr:col>
      <xdr:colOff>63500</xdr:colOff>
      <xdr:row>230</xdr:row>
      <xdr:rowOff>182879</xdr:rowOff>
    </xdr:to>
    <xdr:sp macro="" textlink="">
      <xdr:nvSpPr>
        <xdr:cNvPr id="893" name="nuNumber: 922" hidden="1">
          <a:extLst>
            <a:ext uri="{FF2B5EF4-FFF2-40B4-BE49-F238E27FC236}">
              <a16:creationId xmlns:a16="http://schemas.microsoft.com/office/drawing/2014/main" id="{6062CE27-9E20-4022-9B66-C6DBA2680EDA}"/>
            </a:ext>
          </a:extLst>
        </xdr:cNvPr>
        <xdr:cNvSpPr/>
      </xdr:nvSpPr>
      <xdr:spPr bwMode="auto">
        <a:xfrm>
          <a:off x="5562600" y="494684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230</xdr:row>
      <xdr:rowOff>119379</xdr:rowOff>
    </xdr:from>
    <xdr:to>
      <xdr:col>9</xdr:col>
      <xdr:colOff>63500</xdr:colOff>
      <xdr:row>230</xdr:row>
      <xdr:rowOff>182879</xdr:rowOff>
    </xdr:to>
    <xdr:sp macro="" textlink="">
      <xdr:nvSpPr>
        <xdr:cNvPr id="894" name="nuNumber: 923" hidden="1">
          <a:extLst>
            <a:ext uri="{FF2B5EF4-FFF2-40B4-BE49-F238E27FC236}">
              <a16:creationId xmlns:a16="http://schemas.microsoft.com/office/drawing/2014/main" id="{157DC8F5-1CEA-44C4-BA07-9FDAAB72A942}"/>
            </a:ext>
          </a:extLst>
        </xdr:cNvPr>
        <xdr:cNvSpPr/>
      </xdr:nvSpPr>
      <xdr:spPr bwMode="auto">
        <a:xfrm>
          <a:off x="6467475" y="494684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230</xdr:row>
      <xdr:rowOff>119379</xdr:rowOff>
    </xdr:from>
    <xdr:to>
      <xdr:col>10</xdr:col>
      <xdr:colOff>63500</xdr:colOff>
      <xdr:row>230</xdr:row>
      <xdr:rowOff>182879</xdr:rowOff>
    </xdr:to>
    <xdr:sp macro="" textlink="">
      <xdr:nvSpPr>
        <xdr:cNvPr id="895" name="nuNumber: 924" hidden="1">
          <a:extLst>
            <a:ext uri="{FF2B5EF4-FFF2-40B4-BE49-F238E27FC236}">
              <a16:creationId xmlns:a16="http://schemas.microsoft.com/office/drawing/2014/main" id="{05A12515-CD08-4BE4-A441-D74C85616EE6}"/>
            </a:ext>
          </a:extLst>
        </xdr:cNvPr>
        <xdr:cNvSpPr/>
      </xdr:nvSpPr>
      <xdr:spPr bwMode="auto">
        <a:xfrm>
          <a:off x="7315200" y="494684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230</xdr:row>
      <xdr:rowOff>119379</xdr:rowOff>
    </xdr:from>
    <xdr:to>
      <xdr:col>11</xdr:col>
      <xdr:colOff>63500</xdr:colOff>
      <xdr:row>230</xdr:row>
      <xdr:rowOff>182879</xdr:rowOff>
    </xdr:to>
    <xdr:sp macro="" textlink="">
      <xdr:nvSpPr>
        <xdr:cNvPr id="896" name="nuNumber: 925" hidden="1">
          <a:extLst>
            <a:ext uri="{FF2B5EF4-FFF2-40B4-BE49-F238E27FC236}">
              <a16:creationId xmlns:a16="http://schemas.microsoft.com/office/drawing/2014/main" id="{6139B17C-47D1-42BE-81A1-E3A9AA7D2DF5}"/>
            </a:ext>
          </a:extLst>
        </xdr:cNvPr>
        <xdr:cNvSpPr/>
      </xdr:nvSpPr>
      <xdr:spPr bwMode="auto">
        <a:xfrm>
          <a:off x="8105775" y="494684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230</xdr:row>
      <xdr:rowOff>119379</xdr:rowOff>
    </xdr:from>
    <xdr:to>
      <xdr:col>12</xdr:col>
      <xdr:colOff>63500</xdr:colOff>
      <xdr:row>230</xdr:row>
      <xdr:rowOff>182879</xdr:rowOff>
    </xdr:to>
    <xdr:sp macro="" textlink="">
      <xdr:nvSpPr>
        <xdr:cNvPr id="897" name="nuNumber: 926" hidden="1">
          <a:extLst>
            <a:ext uri="{FF2B5EF4-FFF2-40B4-BE49-F238E27FC236}">
              <a16:creationId xmlns:a16="http://schemas.microsoft.com/office/drawing/2014/main" id="{562E3482-0092-4533-AFB0-523945EACD20}"/>
            </a:ext>
          </a:extLst>
        </xdr:cNvPr>
        <xdr:cNvSpPr/>
      </xdr:nvSpPr>
      <xdr:spPr bwMode="auto">
        <a:xfrm>
          <a:off x="8972550" y="494684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230</xdr:row>
      <xdr:rowOff>119379</xdr:rowOff>
    </xdr:from>
    <xdr:to>
      <xdr:col>13</xdr:col>
      <xdr:colOff>63500</xdr:colOff>
      <xdr:row>230</xdr:row>
      <xdr:rowOff>182879</xdr:rowOff>
    </xdr:to>
    <xdr:sp macro="" textlink="">
      <xdr:nvSpPr>
        <xdr:cNvPr id="898" name="nuNumber: 927" hidden="1">
          <a:extLst>
            <a:ext uri="{FF2B5EF4-FFF2-40B4-BE49-F238E27FC236}">
              <a16:creationId xmlns:a16="http://schemas.microsoft.com/office/drawing/2014/main" id="{D5F8048D-AA56-40A7-85F9-1048C23D84D3}"/>
            </a:ext>
          </a:extLst>
        </xdr:cNvPr>
        <xdr:cNvSpPr/>
      </xdr:nvSpPr>
      <xdr:spPr bwMode="auto">
        <a:xfrm>
          <a:off x="9753600" y="494684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230</xdr:row>
      <xdr:rowOff>119379</xdr:rowOff>
    </xdr:from>
    <xdr:to>
      <xdr:col>14</xdr:col>
      <xdr:colOff>63500</xdr:colOff>
      <xdr:row>230</xdr:row>
      <xdr:rowOff>182879</xdr:rowOff>
    </xdr:to>
    <xdr:sp macro="" textlink="">
      <xdr:nvSpPr>
        <xdr:cNvPr id="899" name="nuNumber: 928" hidden="1">
          <a:extLst>
            <a:ext uri="{FF2B5EF4-FFF2-40B4-BE49-F238E27FC236}">
              <a16:creationId xmlns:a16="http://schemas.microsoft.com/office/drawing/2014/main" id="{43E57E9A-FC0E-4C5F-8EFC-AD38FDC29C55}"/>
            </a:ext>
          </a:extLst>
        </xdr:cNvPr>
        <xdr:cNvSpPr/>
      </xdr:nvSpPr>
      <xdr:spPr bwMode="auto">
        <a:xfrm>
          <a:off x="10515600" y="494684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230</xdr:row>
      <xdr:rowOff>119379</xdr:rowOff>
    </xdr:from>
    <xdr:to>
      <xdr:col>15</xdr:col>
      <xdr:colOff>63500</xdr:colOff>
      <xdr:row>230</xdr:row>
      <xdr:rowOff>182879</xdr:rowOff>
    </xdr:to>
    <xdr:sp macro="" textlink="">
      <xdr:nvSpPr>
        <xdr:cNvPr id="900" name="nuNumber: 929" hidden="1">
          <a:extLst>
            <a:ext uri="{FF2B5EF4-FFF2-40B4-BE49-F238E27FC236}">
              <a16:creationId xmlns:a16="http://schemas.microsoft.com/office/drawing/2014/main" id="{83FAC2CA-E38C-4F56-B967-A12EA7A21FC8}"/>
            </a:ext>
          </a:extLst>
        </xdr:cNvPr>
        <xdr:cNvSpPr/>
      </xdr:nvSpPr>
      <xdr:spPr bwMode="auto">
        <a:xfrm>
          <a:off x="11325225" y="494684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230</xdr:row>
      <xdr:rowOff>119379</xdr:rowOff>
    </xdr:from>
    <xdr:to>
      <xdr:col>16</xdr:col>
      <xdr:colOff>63500</xdr:colOff>
      <xdr:row>230</xdr:row>
      <xdr:rowOff>182879</xdr:rowOff>
    </xdr:to>
    <xdr:sp macro="" textlink="">
      <xdr:nvSpPr>
        <xdr:cNvPr id="901" name="nuNumber: 930" hidden="1">
          <a:extLst>
            <a:ext uri="{FF2B5EF4-FFF2-40B4-BE49-F238E27FC236}">
              <a16:creationId xmlns:a16="http://schemas.microsoft.com/office/drawing/2014/main" id="{7017FF2C-834B-40F1-AE5C-65A870A7A1F4}"/>
            </a:ext>
          </a:extLst>
        </xdr:cNvPr>
        <xdr:cNvSpPr/>
      </xdr:nvSpPr>
      <xdr:spPr bwMode="auto">
        <a:xfrm>
          <a:off x="12106275" y="494684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230</xdr:row>
      <xdr:rowOff>119379</xdr:rowOff>
    </xdr:from>
    <xdr:to>
      <xdr:col>17</xdr:col>
      <xdr:colOff>63500</xdr:colOff>
      <xdr:row>230</xdr:row>
      <xdr:rowOff>182879</xdr:rowOff>
    </xdr:to>
    <xdr:sp macro="" textlink="">
      <xdr:nvSpPr>
        <xdr:cNvPr id="902" name="nuNumber: 931" hidden="1">
          <a:extLst>
            <a:ext uri="{FF2B5EF4-FFF2-40B4-BE49-F238E27FC236}">
              <a16:creationId xmlns:a16="http://schemas.microsoft.com/office/drawing/2014/main" id="{49259CBA-366F-4DC8-A882-C1C7E1B07E01}"/>
            </a:ext>
          </a:extLst>
        </xdr:cNvPr>
        <xdr:cNvSpPr/>
      </xdr:nvSpPr>
      <xdr:spPr bwMode="auto">
        <a:xfrm>
          <a:off x="12887325" y="494684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230</xdr:row>
      <xdr:rowOff>119379</xdr:rowOff>
    </xdr:from>
    <xdr:to>
      <xdr:col>18</xdr:col>
      <xdr:colOff>63499</xdr:colOff>
      <xdr:row>230</xdr:row>
      <xdr:rowOff>182879</xdr:rowOff>
    </xdr:to>
    <xdr:sp macro="" textlink="">
      <xdr:nvSpPr>
        <xdr:cNvPr id="903" name="nuNumber: 932" hidden="1">
          <a:extLst>
            <a:ext uri="{FF2B5EF4-FFF2-40B4-BE49-F238E27FC236}">
              <a16:creationId xmlns:a16="http://schemas.microsoft.com/office/drawing/2014/main" id="{734BC1D0-9423-46DB-9E3A-35EDF8DB2764}"/>
            </a:ext>
          </a:extLst>
        </xdr:cNvPr>
        <xdr:cNvSpPr/>
      </xdr:nvSpPr>
      <xdr:spPr bwMode="auto">
        <a:xfrm>
          <a:off x="13624559" y="49468404"/>
          <a:ext cx="5969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230</xdr:row>
      <xdr:rowOff>119379</xdr:rowOff>
    </xdr:from>
    <xdr:to>
      <xdr:col>19</xdr:col>
      <xdr:colOff>63500</xdr:colOff>
      <xdr:row>230</xdr:row>
      <xdr:rowOff>182879</xdr:rowOff>
    </xdr:to>
    <xdr:sp macro="" textlink="">
      <xdr:nvSpPr>
        <xdr:cNvPr id="904" name="nuNumber: 933" hidden="1">
          <a:extLst>
            <a:ext uri="{FF2B5EF4-FFF2-40B4-BE49-F238E27FC236}">
              <a16:creationId xmlns:a16="http://schemas.microsoft.com/office/drawing/2014/main" id="{7BD82D7E-2FF3-437B-B7F6-B96665CA66EA}"/>
            </a:ext>
          </a:extLst>
        </xdr:cNvPr>
        <xdr:cNvSpPr/>
      </xdr:nvSpPr>
      <xdr:spPr bwMode="auto">
        <a:xfrm>
          <a:off x="14382750" y="494684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230</xdr:row>
      <xdr:rowOff>119379</xdr:rowOff>
    </xdr:from>
    <xdr:to>
      <xdr:col>20</xdr:col>
      <xdr:colOff>63500</xdr:colOff>
      <xdr:row>230</xdr:row>
      <xdr:rowOff>182879</xdr:rowOff>
    </xdr:to>
    <xdr:sp macro="" textlink="">
      <xdr:nvSpPr>
        <xdr:cNvPr id="905" name="nuNumber: 934" hidden="1">
          <a:extLst>
            <a:ext uri="{FF2B5EF4-FFF2-40B4-BE49-F238E27FC236}">
              <a16:creationId xmlns:a16="http://schemas.microsoft.com/office/drawing/2014/main" id="{01F30D53-3F24-4281-B81D-EABAB4E5AA35}"/>
            </a:ext>
          </a:extLst>
        </xdr:cNvPr>
        <xdr:cNvSpPr/>
      </xdr:nvSpPr>
      <xdr:spPr bwMode="auto">
        <a:xfrm>
          <a:off x="15135225" y="494684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230</xdr:row>
      <xdr:rowOff>119379</xdr:rowOff>
    </xdr:from>
    <xdr:to>
      <xdr:col>21</xdr:col>
      <xdr:colOff>63500</xdr:colOff>
      <xdr:row>230</xdr:row>
      <xdr:rowOff>182879</xdr:rowOff>
    </xdr:to>
    <xdr:sp macro="" textlink="">
      <xdr:nvSpPr>
        <xdr:cNvPr id="906" name="nuNumber: 935" hidden="1">
          <a:extLst>
            <a:ext uri="{FF2B5EF4-FFF2-40B4-BE49-F238E27FC236}">
              <a16:creationId xmlns:a16="http://schemas.microsoft.com/office/drawing/2014/main" id="{80F921DF-AB2F-4810-8679-14AD45ABB9DD}"/>
            </a:ext>
          </a:extLst>
        </xdr:cNvPr>
        <xdr:cNvSpPr/>
      </xdr:nvSpPr>
      <xdr:spPr bwMode="auto">
        <a:xfrm>
          <a:off x="15849600" y="494684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230</xdr:row>
      <xdr:rowOff>119379</xdr:rowOff>
    </xdr:from>
    <xdr:to>
      <xdr:col>30</xdr:col>
      <xdr:colOff>63499</xdr:colOff>
      <xdr:row>230</xdr:row>
      <xdr:rowOff>182879</xdr:rowOff>
    </xdr:to>
    <xdr:sp macro="" textlink="">
      <xdr:nvSpPr>
        <xdr:cNvPr id="907" name="nuNumber: 936" hidden="1">
          <a:extLst>
            <a:ext uri="{FF2B5EF4-FFF2-40B4-BE49-F238E27FC236}">
              <a16:creationId xmlns:a16="http://schemas.microsoft.com/office/drawing/2014/main" id="{AB9FA64B-49E4-452A-AF8B-28EB0CD43AC6}"/>
            </a:ext>
          </a:extLst>
        </xdr:cNvPr>
        <xdr:cNvSpPr/>
      </xdr:nvSpPr>
      <xdr:spPr bwMode="auto">
        <a:xfrm>
          <a:off x="22242779" y="49468404"/>
          <a:ext cx="61595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230</xdr:row>
      <xdr:rowOff>119379</xdr:rowOff>
    </xdr:from>
    <xdr:to>
      <xdr:col>31</xdr:col>
      <xdr:colOff>63500</xdr:colOff>
      <xdr:row>230</xdr:row>
      <xdr:rowOff>182879</xdr:rowOff>
    </xdr:to>
    <xdr:sp macro="" textlink="">
      <xdr:nvSpPr>
        <xdr:cNvPr id="908" name="nuNumber: 937" hidden="1">
          <a:extLst>
            <a:ext uri="{FF2B5EF4-FFF2-40B4-BE49-F238E27FC236}">
              <a16:creationId xmlns:a16="http://schemas.microsoft.com/office/drawing/2014/main" id="{31AA4A4E-D6A8-4D7C-9BC3-FF788F29D17D}"/>
            </a:ext>
          </a:extLst>
        </xdr:cNvPr>
        <xdr:cNvSpPr/>
      </xdr:nvSpPr>
      <xdr:spPr bwMode="auto">
        <a:xfrm>
          <a:off x="23383875" y="494684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231</xdr:row>
      <xdr:rowOff>119381</xdr:rowOff>
    </xdr:from>
    <xdr:to>
      <xdr:col>8</xdr:col>
      <xdr:colOff>63500</xdr:colOff>
      <xdr:row>232</xdr:row>
      <xdr:rowOff>1</xdr:rowOff>
    </xdr:to>
    <xdr:sp macro="" textlink="">
      <xdr:nvSpPr>
        <xdr:cNvPr id="909" name="nuNumber: 938" hidden="1">
          <a:extLst>
            <a:ext uri="{FF2B5EF4-FFF2-40B4-BE49-F238E27FC236}">
              <a16:creationId xmlns:a16="http://schemas.microsoft.com/office/drawing/2014/main" id="{947BDCF6-032B-4959-9F54-681D736B009B}"/>
            </a:ext>
          </a:extLst>
        </xdr:cNvPr>
        <xdr:cNvSpPr/>
      </xdr:nvSpPr>
      <xdr:spPr bwMode="auto">
        <a:xfrm>
          <a:off x="5562600" y="49677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231</xdr:row>
      <xdr:rowOff>119381</xdr:rowOff>
    </xdr:from>
    <xdr:to>
      <xdr:col>9</xdr:col>
      <xdr:colOff>63500</xdr:colOff>
      <xdr:row>232</xdr:row>
      <xdr:rowOff>1</xdr:rowOff>
    </xdr:to>
    <xdr:sp macro="" textlink="">
      <xdr:nvSpPr>
        <xdr:cNvPr id="910" name="nuNumber: 939" hidden="1">
          <a:extLst>
            <a:ext uri="{FF2B5EF4-FFF2-40B4-BE49-F238E27FC236}">
              <a16:creationId xmlns:a16="http://schemas.microsoft.com/office/drawing/2014/main" id="{C5133F8A-AA60-42D3-AD1D-950BEB71B393}"/>
            </a:ext>
          </a:extLst>
        </xdr:cNvPr>
        <xdr:cNvSpPr/>
      </xdr:nvSpPr>
      <xdr:spPr bwMode="auto">
        <a:xfrm>
          <a:off x="6467475" y="49677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231</xdr:row>
      <xdr:rowOff>119381</xdr:rowOff>
    </xdr:from>
    <xdr:to>
      <xdr:col>9</xdr:col>
      <xdr:colOff>63500</xdr:colOff>
      <xdr:row>232</xdr:row>
      <xdr:rowOff>1</xdr:rowOff>
    </xdr:to>
    <xdr:sp macro="" textlink="">
      <xdr:nvSpPr>
        <xdr:cNvPr id="911" name="nuNumber: 940" hidden="1">
          <a:extLst>
            <a:ext uri="{FF2B5EF4-FFF2-40B4-BE49-F238E27FC236}">
              <a16:creationId xmlns:a16="http://schemas.microsoft.com/office/drawing/2014/main" id="{B46B10B0-29D7-48FD-BE68-2E9314856E88}"/>
            </a:ext>
          </a:extLst>
        </xdr:cNvPr>
        <xdr:cNvSpPr/>
      </xdr:nvSpPr>
      <xdr:spPr bwMode="auto">
        <a:xfrm>
          <a:off x="6467475" y="49677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231</xdr:row>
      <xdr:rowOff>119381</xdr:rowOff>
    </xdr:from>
    <xdr:to>
      <xdr:col>10</xdr:col>
      <xdr:colOff>63500</xdr:colOff>
      <xdr:row>232</xdr:row>
      <xdr:rowOff>1</xdr:rowOff>
    </xdr:to>
    <xdr:sp macro="" textlink="">
      <xdr:nvSpPr>
        <xdr:cNvPr id="912" name="nuNumber: 941" hidden="1">
          <a:extLst>
            <a:ext uri="{FF2B5EF4-FFF2-40B4-BE49-F238E27FC236}">
              <a16:creationId xmlns:a16="http://schemas.microsoft.com/office/drawing/2014/main" id="{7F26A9C6-8661-4ECE-B15B-C4C4DCE1EE8D}"/>
            </a:ext>
          </a:extLst>
        </xdr:cNvPr>
        <xdr:cNvSpPr/>
      </xdr:nvSpPr>
      <xdr:spPr bwMode="auto">
        <a:xfrm>
          <a:off x="7315200" y="49677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231</xdr:row>
      <xdr:rowOff>119381</xdr:rowOff>
    </xdr:from>
    <xdr:to>
      <xdr:col>11</xdr:col>
      <xdr:colOff>63500</xdr:colOff>
      <xdr:row>232</xdr:row>
      <xdr:rowOff>1</xdr:rowOff>
    </xdr:to>
    <xdr:sp macro="" textlink="">
      <xdr:nvSpPr>
        <xdr:cNvPr id="913" name="nuNumber: 942" hidden="1">
          <a:extLst>
            <a:ext uri="{FF2B5EF4-FFF2-40B4-BE49-F238E27FC236}">
              <a16:creationId xmlns:a16="http://schemas.microsoft.com/office/drawing/2014/main" id="{BEE80C1A-4575-4A77-A0A1-F6D13FF3441A}"/>
            </a:ext>
          </a:extLst>
        </xdr:cNvPr>
        <xdr:cNvSpPr/>
      </xdr:nvSpPr>
      <xdr:spPr bwMode="auto">
        <a:xfrm>
          <a:off x="8105775" y="49677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231</xdr:row>
      <xdr:rowOff>119381</xdr:rowOff>
    </xdr:from>
    <xdr:to>
      <xdr:col>12</xdr:col>
      <xdr:colOff>63500</xdr:colOff>
      <xdr:row>232</xdr:row>
      <xdr:rowOff>1</xdr:rowOff>
    </xdr:to>
    <xdr:sp macro="" textlink="">
      <xdr:nvSpPr>
        <xdr:cNvPr id="914" name="nuNumber: 943" hidden="1">
          <a:extLst>
            <a:ext uri="{FF2B5EF4-FFF2-40B4-BE49-F238E27FC236}">
              <a16:creationId xmlns:a16="http://schemas.microsoft.com/office/drawing/2014/main" id="{2EFEC568-D0E6-4525-B45F-D23370291E62}"/>
            </a:ext>
          </a:extLst>
        </xdr:cNvPr>
        <xdr:cNvSpPr/>
      </xdr:nvSpPr>
      <xdr:spPr bwMode="auto">
        <a:xfrm>
          <a:off x="8972550" y="49677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231</xdr:row>
      <xdr:rowOff>119381</xdr:rowOff>
    </xdr:from>
    <xdr:to>
      <xdr:col>13</xdr:col>
      <xdr:colOff>63500</xdr:colOff>
      <xdr:row>232</xdr:row>
      <xdr:rowOff>1</xdr:rowOff>
    </xdr:to>
    <xdr:sp macro="" textlink="">
      <xdr:nvSpPr>
        <xdr:cNvPr id="915" name="nuNumber: 944" hidden="1">
          <a:extLst>
            <a:ext uri="{FF2B5EF4-FFF2-40B4-BE49-F238E27FC236}">
              <a16:creationId xmlns:a16="http://schemas.microsoft.com/office/drawing/2014/main" id="{052024DB-A7D7-4EDF-B3C2-547F693A729A}"/>
            </a:ext>
          </a:extLst>
        </xdr:cNvPr>
        <xdr:cNvSpPr/>
      </xdr:nvSpPr>
      <xdr:spPr bwMode="auto">
        <a:xfrm>
          <a:off x="9753600" y="49677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231</xdr:row>
      <xdr:rowOff>119381</xdr:rowOff>
    </xdr:from>
    <xdr:to>
      <xdr:col>14</xdr:col>
      <xdr:colOff>63500</xdr:colOff>
      <xdr:row>232</xdr:row>
      <xdr:rowOff>1</xdr:rowOff>
    </xdr:to>
    <xdr:sp macro="" textlink="">
      <xdr:nvSpPr>
        <xdr:cNvPr id="916" name="nuNumber: 945" hidden="1">
          <a:extLst>
            <a:ext uri="{FF2B5EF4-FFF2-40B4-BE49-F238E27FC236}">
              <a16:creationId xmlns:a16="http://schemas.microsoft.com/office/drawing/2014/main" id="{CCEDC9D5-7F07-44A8-9AB0-1409EA788B13}"/>
            </a:ext>
          </a:extLst>
        </xdr:cNvPr>
        <xdr:cNvSpPr/>
      </xdr:nvSpPr>
      <xdr:spPr bwMode="auto">
        <a:xfrm>
          <a:off x="10515600" y="49677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231</xdr:row>
      <xdr:rowOff>119381</xdr:rowOff>
    </xdr:from>
    <xdr:to>
      <xdr:col>15</xdr:col>
      <xdr:colOff>63500</xdr:colOff>
      <xdr:row>232</xdr:row>
      <xdr:rowOff>1</xdr:rowOff>
    </xdr:to>
    <xdr:sp macro="" textlink="">
      <xdr:nvSpPr>
        <xdr:cNvPr id="917" name="nuNumber: 946" hidden="1">
          <a:extLst>
            <a:ext uri="{FF2B5EF4-FFF2-40B4-BE49-F238E27FC236}">
              <a16:creationId xmlns:a16="http://schemas.microsoft.com/office/drawing/2014/main" id="{93FF872B-266A-472F-BAFA-9BDAC7ED9AC4}"/>
            </a:ext>
          </a:extLst>
        </xdr:cNvPr>
        <xdr:cNvSpPr/>
      </xdr:nvSpPr>
      <xdr:spPr bwMode="auto">
        <a:xfrm>
          <a:off x="11325225" y="49677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231</xdr:row>
      <xdr:rowOff>119381</xdr:rowOff>
    </xdr:from>
    <xdr:to>
      <xdr:col>16</xdr:col>
      <xdr:colOff>63500</xdr:colOff>
      <xdr:row>232</xdr:row>
      <xdr:rowOff>1</xdr:rowOff>
    </xdr:to>
    <xdr:sp macro="" textlink="">
      <xdr:nvSpPr>
        <xdr:cNvPr id="918" name="nuNumber: 947" hidden="1">
          <a:extLst>
            <a:ext uri="{FF2B5EF4-FFF2-40B4-BE49-F238E27FC236}">
              <a16:creationId xmlns:a16="http://schemas.microsoft.com/office/drawing/2014/main" id="{A3666C38-E6E5-4EDC-B6F7-92E069B6FB70}"/>
            </a:ext>
          </a:extLst>
        </xdr:cNvPr>
        <xdr:cNvSpPr/>
      </xdr:nvSpPr>
      <xdr:spPr bwMode="auto">
        <a:xfrm>
          <a:off x="12106275" y="49677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231</xdr:row>
      <xdr:rowOff>119381</xdr:rowOff>
    </xdr:from>
    <xdr:to>
      <xdr:col>17</xdr:col>
      <xdr:colOff>63500</xdr:colOff>
      <xdr:row>232</xdr:row>
      <xdr:rowOff>1</xdr:rowOff>
    </xdr:to>
    <xdr:sp macro="" textlink="">
      <xdr:nvSpPr>
        <xdr:cNvPr id="919" name="nuNumber: 948" hidden="1">
          <a:extLst>
            <a:ext uri="{FF2B5EF4-FFF2-40B4-BE49-F238E27FC236}">
              <a16:creationId xmlns:a16="http://schemas.microsoft.com/office/drawing/2014/main" id="{C58D1A4B-CB39-4F68-963B-B642C232583E}"/>
            </a:ext>
          </a:extLst>
        </xdr:cNvPr>
        <xdr:cNvSpPr/>
      </xdr:nvSpPr>
      <xdr:spPr bwMode="auto">
        <a:xfrm>
          <a:off x="12887325" y="49677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231</xdr:row>
      <xdr:rowOff>119381</xdr:rowOff>
    </xdr:from>
    <xdr:to>
      <xdr:col>18</xdr:col>
      <xdr:colOff>63499</xdr:colOff>
      <xdr:row>232</xdr:row>
      <xdr:rowOff>1</xdr:rowOff>
    </xdr:to>
    <xdr:sp macro="" textlink="">
      <xdr:nvSpPr>
        <xdr:cNvPr id="920" name="nuNumber: 949" hidden="1">
          <a:extLst>
            <a:ext uri="{FF2B5EF4-FFF2-40B4-BE49-F238E27FC236}">
              <a16:creationId xmlns:a16="http://schemas.microsoft.com/office/drawing/2014/main" id="{F59B46C3-30F4-4EA8-A65D-FE9AEA9DAA14}"/>
            </a:ext>
          </a:extLst>
        </xdr:cNvPr>
        <xdr:cNvSpPr/>
      </xdr:nvSpPr>
      <xdr:spPr bwMode="auto">
        <a:xfrm>
          <a:off x="13624559" y="49677956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231</xdr:row>
      <xdr:rowOff>119381</xdr:rowOff>
    </xdr:from>
    <xdr:to>
      <xdr:col>19</xdr:col>
      <xdr:colOff>63500</xdr:colOff>
      <xdr:row>232</xdr:row>
      <xdr:rowOff>1</xdr:rowOff>
    </xdr:to>
    <xdr:sp macro="" textlink="">
      <xdr:nvSpPr>
        <xdr:cNvPr id="921" name="nuNumber: 950" hidden="1">
          <a:extLst>
            <a:ext uri="{FF2B5EF4-FFF2-40B4-BE49-F238E27FC236}">
              <a16:creationId xmlns:a16="http://schemas.microsoft.com/office/drawing/2014/main" id="{B798C48A-348F-4AAD-B1EE-FECE83317DD2}"/>
            </a:ext>
          </a:extLst>
        </xdr:cNvPr>
        <xdr:cNvSpPr/>
      </xdr:nvSpPr>
      <xdr:spPr bwMode="auto">
        <a:xfrm>
          <a:off x="14382750" y="49677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231</xdr:row>
      <xdr:rowOff>119381</xdr:rowOff>
    </xdr:from>
    <xdr:to>
      <xdr:col>20</xdr:col>
      <xdr:colOff>63500</xdr:colOff>
      <xdr:row>232</xdr:row>
      <xdr:rowOff>1</xdr:rowOff>
    </xdr:to>
    <xdr:sp macro="" textlink="">
      <xdr:nvSpPr>
        <xdr:cNvPr id="922" name="nuNumber: 951" hidden="1">
          <a:extLst>
            <a:ext uri="{FF2B5EF4-FFF2-40B4-BE49-F238E27FC236}">
              <a16:creationId xmlns:a16="http://schemas.microsoft.com/office/drawing/2014/main" id="{7D551676-4C92-419E-97CA-48E9F5DBD80F}"/>
            </a:ext>
          </a:extLst>
        </xdr:cNvPr>
        <xdr:cNvSpPr/>
      </xdr:nvSpPr>
      <xdr:spPr bwMode="auto">
        <a:xfrm>
          <a:off x="15135225" y="49677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231</xdr:row>
      <xdr:rowOff>119381</xdr:rowOff>
    </xdr:from>
    <xdr:to>
      <xdr:col>21</xdr:col>
      <xdr:colOff>63500</xdr:colOff>
      <xdr:row>232</xdr:row>
      <xdr:rowOff>1</xdr:rowOff>
    </xdr:to>
    <xdr:sp macro="" textlink="">
      <xdr:nvSpPr>
        <xdr:cNvPr id="923" name="nuNumber: 952" hidden="1">
          <a:extLst>
            <a:ext uri="{FF2B5EF4-FFF2-40B4-BE49-F238E27FC236}">
              <a16:creationId xmlns:a16="http://schemas.microsoft.com/office/drawing/2014/main" id="{EB06CBFE-BB95-4243-8083-1B802296B9C2}"/>
            </a:ext>
          </a:extLst>
        </xdr:cNvPr>
        <xdr:cNvSpPr/>
      </xdr:nvSpPr>
      <xdr:spPr bwMode="auto">
        <a:xfrm>
          <a:off x="15849600" y="49677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231</xdr:row>
      <xdr:rowOff>119381</xdr:rowOff>
    </xdr:from>
    <xdr:to>
      <xdr:col>30</xdr:col>
      <xdr:colOff>63499</xdr:colOff>
      <xdr:row>232</xdr:row>
      <xdr:rowOff>1</xdr:rowOff>
    </xdr:to>
    <xdr:sp macro="" textlink="">
      <xdr:nvSpPr>
        <xdr:cNvPr id="924" name="nuNumber: 953" hidden="1">
          <a:extLst>
            <a:ext uri="{FF2B5EF4-FFF2-40B4-BE49-F238E27FC236}">
              <a16:creationId xmlns:a16="http://schemas.microsoft.com/office/drawing/2014/main" id="{ECC6BD18-97D3-4EF4-9E12-1B14EFAAE394}"/>
            </a:ext>
          </a:extLst>
        </xdr:cNvPr>
        <xdr:cNvSpPr/>
      </xdr:nvSpPr>
      <xdr:spPr bwMode="auto">
        <a:xfrm>
          <a:off x="22242779" y="49677956"/>
          <a:ext cx="61595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231</xdr:row>
      <xdr:rowOff>119381</xdr:rowOff>
    </xdr:from>
    <xdr:to>
      <xdr:col>31</xdr:col>
      <xdr:colOff>63500</xdr:colOff>
      <xdr:row>232</xdr:row>
      <xdr:rowOff>1</xdr:rowOff>
    </xdr:to>
    <xdr:sp macro="" textlink="">
      <xdr:nvSpPr>
        <xdr:cNvPr id="925" name="nuNumber: 954" hidden="1">
          <a:extLst>
            <a:ext uri="{FF2B5EF4-FFF2-40B4-BE49-F238E27FC236}">
              <a16:creationId xmlns:a16="http://schemas.microsoft.com/office/drawing/2014/main" id="{865BE8C9-C57B-461A-9CA5-4B7656251D85}"/>
            </a:ext>
          </a:extLst>
        </xdr:cNvPr>
        <xdr:cNvSpPr/>
      </xdr:nvSpPr>
      <xdr:spPr bwMode="auto">
        <a:xfrm>
          <a:off x="23383875" y="49677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232</xdr:row>
      <xdr:rowOff>119380</xdr:rowOff>
    </xdr:from>
    <xdr:to>
      <xdr:col>5</xdr:col>
      <xdr:colOff>63500</xdr:colOff>
      <xdr:row>233</xdr:row>
      <xdr:rowOff>0</xdr:rowOff>
    </xdr:to>
    <xdr:sp macro="" textlink="">
      <xdr:nvSpPr>
        <xdr:cNvPr id="926" name="nuNumber: 955" hidden="1">
          <a:extLst>
            <a:ext uri="{FF2B5EF4-FFF2-40B4-BE49-F238E27FC236}">
              <a16:creationId xmlns:a16="http://schemas.microsoft.com/office/drawing/2014/main" id="{CDCF9CEE-A619-4C10-A029-15CB9D8AA6C3}"/>
            </a:ext>
          </a:extLst>
        </xdr:cNvPr>
        <xdr:cNvSpPr/>
      </xdr:nvSpPr>
      <xdr:spPr bwMode="auto">
        <a:xfrm>
          <a:off x="2914650" y="498875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232</xdr:row>
      <xdr:rowOff>119380</xdr:rowOff>
    </xdr:from>
    <xdr:to>
      <xdr:col>6</xdr:col>
      <xdr:colOff>63500</xdr:colOff>
      <xdr:row>233</xdr:row>
      <xdr:rowOff>0</xdr:rowOff>
    </xdr:to>
    <xdr:sp macro="" textlink="">
      <xdr:nvSpPr>
        <xdr:cNvPr id="927" name="nuNumber: 956" hidden="1">
          <a:extLst>
            <a:ext uri="{FF2B5EF4-FFF2-40B4-BE49-F238E27FC236}">
              <a16:creationId xmlns:a16="http://schemas.microsoft.com/office/drawing/2014/main" id="{0B26B6A1-0EFA-4994-AFD2-1E72791011BA}"/>
            </a:ext>
          </a:extLst>
        </xdr:cNvPr>
        <xdr:cNvSpPr/>
      </xdr:nvSpPr>
      <xdr:spPr bwMode="auto">
        <a:xfrm>
          <a:off x="3800475" y="498875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232</xdr:row>
      <xdr:rowOff>119380</xdr:rowOff>
    </xdr:from>
    <xdr:to>
      <xdr:col>7</xdr:col>
      <xdr:colOff>63500</xdr:colOff>
      <xdr:row>233</xdr:row>
      <xdr:rowOff>0</xdr:rowOff>
    </xdr:to>
    <xdr:sp macro="" textlink="">
      <xdr:nvSpPr>
        <xdr:cNvPr id="928" name="nuNumber: 957" hidden="1">
          <a:extLst>
            <a:ext uri="{FF2B5EF4-FFF2-40B4-BE49-F238E27FC236}">
              <a16:creationId xmlns:a16="http://schemas.microsoft.com/office/drawing/2014/main" id="{E223B47C-323D-4A61-9340-92A41FB83EC1}"/>
            </a:ext>
          </a:extLst>
        </xdr:cNvPr>
        <xdr:cNvSpPr/>
      </xdr:nvSpPr>
      <xdr:spPr bwMode="auto">
        <a:xfrm>
          <a:off x="4676775" y="498875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232</xdr:row>
      <xdr:rowOff>119380</xdr:rowOff>
    </xdr:from>
    <xdr:to>
      <xdr:col>8</xdr:col>
      <xdr:colOff>63500</xdr:colOff>
      <xdr:row>233</xdr:row>
      <xdr:rowOff>0</xdr:rowOff>
    </xdr:to>
    <xdr:sp macro="" textlink="">
      <xdr:nvSpPr>
        <xdr:cNvPr id="929" name="nuNumber: 958" hidden="1">
          <a:extLst>
            <a:ext uri="{FF2B5EF4-FFF2-40B4-BE49-F238E27FC236}">
              <a16:creationId xmlns:a16="http://schemas.microsoft.com/office/drawing/2014/main" id="{4B5C5FE6-9706-4D1E-9A0E-827E50B13C81}"/>
            </a:ext>
          </a:extLst>
        </xdr:cNvPr>
        <xdr:cNvSpPr/>
      </xdr:nvSpPr>
      <xdr:spPr bwMode="auto">
        <a:xfrm>
          <a:off x="5562600" y="498875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232</xdr:row>
      <xdr:rowOff>119380</xdr:rowOff>
    </xdr:from>
    <xdr:to>
      <xdr:col>9</xdr:col>
      <xdr:colOff>63500</xdr:colOff>
      <xdr:row>233</xdr:row>
      <xdr:rowOff>0</xdr:rowOff>
    </xdr:to>
    <xdr:sp macro="" textlink="">
      <xdr:nvSpPr>
        <xdr:cNvPr id="930" name="nuNumber: 959" hidden="1">
          <a:extLst>
            <a:ext uri="{FF2B5EF4-FFF2-40B4-BE49-F238E27FC236}">
              <a16:creationId xmlns:a16="http://schemas.microsoft.com/office/drawing/2014/main" id="{26E01D50-EFD7-443A-A8E9-C9EB47C370A5}"/>
            </a:ext>
          </a:extLst>
        </xdr:cNvPr>
        <xdr:cNvSpPr/>
      </xdr:nvSpPr>
      <xdr:spPr bwMode="auto">
        <a:xfrm>
          <a:off x="6467475" y="498875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232</xdr:row>
      <xdr:rowOff>119380</xdr:rowOff>
    </xdr:from>
    <xdr:to>
      <xdr:col>9</xdr:col>
      <xdr:colOff>63500</xdr:colOff>
      <xdr:row>233</xdr:row>
      <xdr:rowOff>0</xdr:rowOff>
    </xdr:to>
    <xdr:sp macro="" textlink="">
      <xdr:nvSpPr>
        <xdr:cNvPr id="931" name="nuNumber: 960" hidden="1">
          <a:extLst>
            <a:ext uri="{FF2B5EF4-FFF2-40B4-BE49-F238E27FC236}">
              <a16:creationId xmlns:a16="http://schemas.microsoft.com/office/drawing/2014/main" id="{BB4665C5-5205-4480-B313-FF6998A133C2}"/>
            </a:ext>
          </a:extLst>
        </xdr:cNvPr>
        <xdr:cNvSpPr/>
      </xdr:nvSpPr>
      <xdr:spPr bwMode="auto">
        <a:xfrm>
          <a:off x="6467475" y="498875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232</xdr:row>
      <xdr:rowOff>119380</xdr:rowOff>
    </xdr:from>
    <xdr:to>
      <xdr:col>10</xdr:col>
      <xdr:colOff>63500</xdr:colOff>
      <xdr:row>233</xdr:row>
      <xdr:rowOff>0</xdr:rowOff>
    </xdr:to>
    <xdr:sp macro="" textlink="">
      <xdr:nvSpPr>
        <xdr:cNvPr id="932" name="nuNumber: 961" hidden="1">
          <a:extLst>
            <a:ext uri="{FF2B5EF4-FFF2-40B4-BE49-F238E27FC236}">
              <a16:creationId xmlns:a16="http://schemas.microsoft.com/office/drawing/2014/main" id="{8AD455DC-3C56-44DA-B7B8-EBC0EEE9CB63}"/>
            </a:ext>
          </a:extLst>
        </xdr:cNvPr>
        <xdr:cNvSpPr/>
      </xdr:nvSpPr>
      <xdr:spPr bwMode="auto">
        <a:xfrm>
          <a:off x="7315200" y="498875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232</xdr:row>
      <xdr:rowOff>119380</xdr:rowOff>
    </xdr:from>
    <xdr:to>
      <xdr:col>11</xdr:col>
      <xdr:colOff>63500</xdr:colOff>
      <xdr:row>233</xdr:row>
      <xdr:rowOff>0</xdr:rowOff>
    </xdr:to>
    <xdr:sp macro="" textlink="">
      <xdr:nvSpPr>
        <xdr:cNvPr id="933" name="nuNumber: 962" hidden="1">
          <a:extLst>
            <a:ext uri="{FF2B5EF4-FFF2-40B4-BE49-F238E27FC236}">
              <a16:creationId xmlns:a16="http://schemas.microsoft.com/office/drawing/2014/main" id="{04A83089-3104-4BE1-9807-51B8E76BA30B}"/>
            </a:ext>
          </a:extLst>
        </xdr:cNvPr>
        <xdr:cNvSpPr/>
      </xdr:nvSpPr>
      <xdr:spPr bwMode="auto">
        <a:xfrm>
          <a:off x="8105775" y="498875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232</xdr:row>
      <xdr:rowOff>119380</xdr:rowOff>
    </xdr:from>
    <xdr:to>
      <xdr:col>12</xdr:col>
      <xdr:colOff>63500</xdr:colOff>
      <xdr:row>233</xdr:row>
      <xdr:rowOff>0</xdr:rowOff>
    </xdr:to>
    <xdr:sp macro="" textlink="">
      <xdr:nvSpPr>
        <xdr:cNvPr id="934" name="nuNumber: 963" hidden="1">
          <a:extLst>
            <a:ext uri="{FF2B5EF4-FFF2-40B4-BE49-F238E27FC236}">
              <a16:creationId xmlns:a16="http://schemas.microsoft.com/office/drawing/2014/main" id="{07ACC9CC-9DDE-4524-82BE-2B70F0F5A477}"/>
            </a:ext>
          </a:extLst>
        </xdr:cNvPr>
        <xdr:cNvSpPr/>
      </xdr:nvSpPr>
      <xdr:spPr bwMode="auto">
        <a:xfrm>
          <a:off x="8972550" y="498875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232</xdr:row>
      <xdr:rowOff>119380</xdr:rowOff>
    </xdr:from>
    <xdr:to>
      <xdr:col>13</xdr:col>
      <xdr:colOff>63500</xdr:colOff>
      <xdr:row>233</xdr:row>
      <xdr:rowOff>0</xdr:rowOff>
    </xdr:to>
    <xdr:sp macro="" textlink="">
      <xdr:nvSpPr>
        <xdr:cNvPr id="935" name="nuNumber: 964" hidden="1">
          <a:extLst>
            <a:ext uri="{FF2B5EF4-FFF2-40B4-BE49-F238E27FC236}">
              <a16:creationId xmlns:a16="http://schemas.microsoft.com/office/drawing/2014/main" id="{4B1ADDAD-E7B6-4E19-B41D-43703A3633AF}"/>
            </a:ext>
          </a:extLst>
        </xdr:cNvPr>
        <xdr:cNvSpPr/>
      </xdr:nvSpPr>
      <xdr:spPr bwMode="auto">
        <a:xfrm>
          <a:off x="9753600" y="498875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232</xdr:row>
      <xdr:rowOff>119380</xdr:rowOff>
    </xdr:from>
    <xdr:to>
      <xdr:col>14</xdr:col>
      <xdr:colOff>63500</xdr:colOff>
      <xdr:row>233</xdr:row>
      <xdr:rowOff>0</xdr:rowOff>
    </xdr:to>
    <xdr:sp macro="" textlink="">
      <xdr:nvSpPr>
        <xdr:cNvPr id="936" name="nuNumber: 965" hidden="1">
          <a:extLst>
            <a:ext uri="{FF2B5EF4-FFF2-40B4-BE49-F238E27FC236}">
              <a16:creationId xmlns:a16="http://schemas.microsoft.com/office/drawing/2014/main" id="{AD883758-B99B-4CE5-92E5-FC27B3572CC8}"/>
            </a:ext>
          </a:extLst>
        </xdr:cNvPr>
        <xdr:cNvSpPr/>
      </xdr:nvSpPr>
      <xdr:spPr bwMode="auto">
        <a:xfrm>
          <a:off x="10515600" y="498875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232</xdr:row>
      <xdr:rowOff>119380</xdr:rowOff>
    </xdr:from>
    <xdr:to>
      <xdr:col>15</xdr:col>
      <xdr:colOff>63500</xdr:colOff>
      <xdr:row>233</xdr:row>
      <xdr:rowOff>0</xdr:rowOff>
    </xdr:to>
    <xdr:sp macro="" textlink="">
      <xdr:nvSpPr>
        <xdr:cNvPr id="937" name="nuNumber: 966" hidden="1">
          <a:extLst>
            <a:ext uri="{FF2B5EF4-FFF2-40B4-BE49-F238E27FC236}">
              <a16:creationId xmlns:a16="http://schemas.microsoft.com/office/drawing/2014/main" id="{49754821-86BD-4D81-92BE-826DB1AC45DD}"/>
            </a:ext>
          </a:extLst>
        </xdr:cNvPr>
        <xdr:cNvSpPr/>
      </xdr:nvSpPr>
      <xdr:spPr bwMode="auto">
        <a:xfrm>
          <a:off x="11325225" y="498875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232</xdr:row>
      <xdr:rowOff>119380</xdr:rowOff>
    </xdr:from>
    <xdr:to>
      <xdr:col>16</xdr:col>
      <xdr:colOff>63500</xdr:colOff>
      <xdr:row>233</xdr:row>
      <xdr:rowOff>0</xdr:rowOff>
    </xdr:to>
    <xdr:sp macro="" textlink="">
      <xdr:nvSpPr>
        <xdr:cNvPr id="938" name="nuNumber: 967" hidden="1">
          <a:extLst>
            <a:ext uri="{FF2B5EF4-FFF2-40B4-BE49-F238E27FC236}">
              <a16:creationId xmlns:a16="http://schemas.microsoft.com/office/drawing/2014/main" id="{AA7801FE-4158-4760-80F5-271F45BCE0A6}"/>
            </a:ext>
          </a:extLst>
        </xdr:cNvPr>
        <xdr:cNvSpPr/>
      </xdr:nvSpPr>
      <xdr:spPr bwMode="auto">
        <a:xfrm>
          <a:off x="12106275" y="498875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232</xdr:row>
      <xdr:rowOff>119380</xdr:rowOff>
    </xdr:from>
    <xdr:to>
      <xdr:col>17</xdr:col>
      <xdr:colOff>63500</xdr:colOff>
      <xdr:row>233</xdr:row>
      <xdr:rowOff>0</xdr:rowOff>
    </xdr:to>
    <xdr:sp macro="" textlink="">
      <xdr:nvSpPr>
        <xdr:cNvPr id="939" name="nuNumber: 968" hidden="1">
          <a:extLst>
            <a:ext uri="{FF2B5EF4-FFF2-40B4-BE49-F238E27FC236}">
              <a16:creationId xmlns:a16="http://schemas.microsoft.com/office/drawing/2014/main" id="{9390541A-286A-4252-A820-B70B761B8BD4}"/>
            </a:ext>
          </a:extLst>
        </xdr:cNvPr>
        <xdr:cNvSpPr/>
      </xdr:nvSpPr>
      <xdr:spPr bwMode="auto">
        <a:xfrm>
          <a:off x="12887325" y="498875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232</xdr:row>
      <xdr:rowOff>119380</xdr:rowOff>
    </xdr:from>
    <xdr:to>
      <xdr:col>18</xdr:col>
      <xdr:colOff>63499</xdr:colOff>
      <xdr:row>233</xdr:row>
      <xdr:rowOff>0</xdr:rowOff>
    </xdr:to>
    <xdr:sp macro="" textlink="">
      <xdr:nvSpPr>
        <xdr:cNvPr id="940" name="nuNumber: 969" hidden="1">
          <a:extLst>
            <a:ext uri="{FF2B5EF4-FFF2-40B4-BE49-F238E27FC236}">
              <a16:creationId xmlns:a16="http://schemas.microsoft.com/office/drawing/2014/main" id="{E4535705-89D7-4DD6-82B7-7830CB5F7507}"/>
            </a:ext>
          </a:extLst>
        </xdr:cNvPr>
        <xdr:cNvSpPr/>
      </xdr:nvSpPr>
      <xdr:spPr bwMode="auto">
        <a:xfrm>
          <a:off x="13624559" y="49887505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232</xdr:row>
      <xdr:rowOff>119380</xdr:rowOff>
    </xdr:from>
    <xdr:to>
      <xdr:col>19</xdr:col>
      <xdr:colOff>63500</xdr:colOff>
      <xdr:row>233</xdr:row>
      <xdr:rowOff>0</xdr:rowOff>
    </xdr:to>
    <xdr:sp macro="" textlink="">
      <xdr:nvSpPr>
        <xdr:cNvPr id="941" name="nuNumber: 970" hidden="1">
          <a:extLst>
            <a:ext uri="{FF2B5EF4-FFF2-40B4-BE49-F238E27FC236}">
              <a16:creationId xmlns:a16="http://schemas.microsoft.com/office/drawing/2014/main" id="{5A7BFAE1-2732-477E-90BF-997F9FF71417}"/>
            </a:ext>
          </a:extLst>
        </xdr:cNvPr>
        <xdr:cNvSpPr/>
      </xdr:nvSpPr>
      <xdr:spPr bwMode="auto">
        <a:xfrm>
          <a:off x="14382750" y="498875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232</xdr:row>
      <xdr:rowOff>119380</xdr:rowOff>
    </xdr:from>
    <xdr:to>
      <xdr:col>20</xdr:col>
      <xdr:colOff>63500</xdr:colOff>
      <xdr:row>233</xdr:row>
      <xdr:rowOff>0</xdr:rowOff>
    </xdr:to>
    <xdr:sp macro="" textlink="">
      <xdr:nvSpPr>
        <xdr:cNvPr id="942" name="nuNumber: 971" hidden="1">
          <a:extLst>
            <a:ext uri="{FF2B5EF4-FFF2-40B4-BE49-F238E27FC236}">
              <a16:creationId xmlns:a16="http://schemas.microsoft.com/office/drawing/2014/main" id="{2E358207-5DB2-438C-8F86-D1CFE27DE1A4}"/>
            </a:ext>
          </a:extLst>
        </xdr:cNvPr>
        <xdr:cNvSpPr/>
      </xdr:nvSpPr>
      <xdr:spPr bwMode="auto">
        <a:xfrm>
          <a:off x="15135225" y="498875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232</xdr:row>
      <xdr:rowOff>119380</xdr:rowOff>
    </xdr:from>
    <xdr:to>
      <xdr:col>21</xdr:col>
      <xdr:colOff>63500</xdr:colOff>
      <xdr:row>233</xdr:row>
      <xdr:rowOff>0</xdr:rowOff>
    </xdr:to>
    <xdr:sp macro="" textlink="">
      <xdr:nvSpPr>
        <xdr:cNvPr id="943" name="nuNumber: 972" hidden="1">
          <a:extLst>
            <a:ext uri="{FF2B5EF4-FFF2-40B4-BE49-F238E27FC236}">
              <a16:creationId xmlns:a16="http://schemas.microsoft.com/office/drawing/2014/main" id="{4E6395EA-954B-49FE-80F7-092AF12EFAF3}"/>
            </a:ext>
          </a:extLst>
        </xdr:cNvPr>
        <xdr:cNvSpPr/>
      </xdr:nvSpPr>
      <xdr:spPr bwMode="auto">
        <a:xfrm>
          <a:off x="15849600" y="498875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232</xdr:row>
      <xdr:rowOff>119380</xdr:rowOff>
    </xdr:from>
    <xdr:to>
      <xdr:col>30</xdr:col>
      <xdr:colOff>63499</xdr:colOff>
      <xdr:row>233</xdr:row>
      <xdr:rowOff>0</xdr:rowOff>
    </xdr:to>
    <xdr:sp macro="" textlink="">
      <xdr:nvSpPr>
        <xdr:cNvPr id="944" name="nuNumber: 973" hidden="1">
          <a:extLst>
            <a:ext uri="{FF2B5EF4-FFF2-40B4-BE49-F238E27FC236}">
              <a16:creationId xmlns:a16="http://schemas.microsoft.com/office/drawing/2014/main" id="{03CDE801-6B31-4867-96CD-F60FF72E503F}"/>
            </a:ext>
          </a:extLst>
        </xdr:cNvPr>
        <xdr:cNvSpPr/>
      </xdr:nvSpPr>
      <xdr:spPr bwMode="auto">
        <a:xfrm>
          <a:off x="22242779" y="49887505"/>
          <a:ext cx="61595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232</xdr:row>
      <xdr:rowOff>119380</xdr:rowOff>
    </xdr:from>
    <xdr:to>
      <xdr:col>31</xdr:col>
      <xdr:colOff>63500</xdr:colOff>
      <xdr:row>233</xdr:row>
      <xdr:rowOff>0</xdr:rowOff>
    </xdr:to>
    <xdr:sp macro="" textlink="">
      <xdr:nvSpPr>
        <xdr:cNvPr id="945" name="nuNumber: 974" hidden="1">
          <a:extLst>
            <a:ext uri="{FF2B5EF4-FFF2-40B4-BE49-F238E27FC236}">
              <a16:creationId xmlns:a16="http://schemas.microsoft.com/office/drawing/2014/main" id="{6DEBB720-1FEF-4A05-8984-509F2F25BABC}"/>
            </a:ext>
          </a:extLst>
        </xdr:cNvPr>
        <xdr:cNvSpPr/>
      </xdr:nvSpPr>
      <xdr:spPr bwMode="auto">
        <a:xfrm>
          <a:off x="23383875" y="498875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233</xdr:row>
      <xdr:rowOff>119379</xdr:rowOff>
    </xdr:from>
    <xdr:to>
      <xdr:col>30</xdr:col>
      <xdr:colOff>63499</xdr:colOff>
      <xdr:row>233</xdr:row>
      <xdr:rowOff>182879</xdr:rowOff>
    </xdr:to>
    <xdr:sp macro="" textlink="">
      <xdr:nvSpPr>
        <xdr:cNvPr id="946" name="nuNumber: 975" hidden="1">
          <a:extLst>
            <a:ext uri="{FF2B5EF4-FFF2-40B4-BE49-F238E27FC236}">
              <a16:creationId xmlns:a16="http://schemas.microsoft.com/office/drawing/2014/main" id="{A62472F1-7D64-478B-9117-B703E0EE107A}"/>
            </a:ext>
          </a:extLst>
        </xdr:cNvPr>
        <xdr:cNvSpPr/>
      </xdr:nvSpPr>
      <xdr:spPr bwMode="auto">
        <a:xfrm>
          <a:off x="22242779" y="50097054"/>
          <a:ext cx="61595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233</xdr:row>
      <xdr:rowOff>119379</xdr:rowOff>
    </xdr:from>
    <xdr:to>
      <xdr:col>31</xdr:col>
      <xdr:colOff>63500</xdr:colOff>
      <xdr:row>233</xdr:row>
      <xdr:rowOff>182879</xdr:rowOff>
    </xdr:to>
    <xdr:sp macro="" textlink="">
      <xdr:nvSpPr>
        <xdr:cNvPr id="947" name="nuNumber: 976" hidden="1">
          <a:extLst>
            <a:ext uri="{FF2B5EF4-FFF2-40B4-BE49-F238E27FC236}">
              <a16:creationId xmlns:a16="http://schemas.microsoft.com/office/drawing/2014/main" id="{3EEB78EC-DED3-4888-9796-A621D503CFD5}"/>
            </a:ext>
          </a:extLst>
        </xdr:cNvPr>
        <xdr:cNvSpPr/>
      </xdr:nvSpPr>
      <xdr:spPr bwMode="auto">
        <a:xfrm>
          <a:off x="23383875" y="500970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234</xdr:row>
      <xdr:rowOff>119381</xdr:rowOff>
    </xdr:from>
    <xdr:to>
      <xdr:col>30</xdr:col>
      <xdr:colOff>63499</xdr:colOff>
      <xdr:row>235</xdr:row>
      <xdr:rowOff>1</xdr:rowOff>
    </xdr:to>
    <xdr:sp macro="" textlink="">
      <xdr:nvSpPr>
        <xdr:cNvPr id="948" name="nuNumber: 977" hidden="1">
          <a:extLst>
            <a:ext uri="{FF2B5EF4-FFF2-40B4-BE49-F238E27FC236}">
              <a16:creationId xmlns:a16="http://schemas.microsoft.com/office/drawing/2014/main" id="{C438CFE1-7E7A-4682-9CA2-628A84000924}"/>
            </a:ext>
          </a:extLst>
        </xdr:cNvPr>
        <xdr:cNvSpPr/>
      </xdr:nvSpPr>
      <xdr:spPr bwMode="auto">
        <a:xfrm>
          <a:off x="22242779" y="50306606"/>
          <a:ext cx="61595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234</xdr:row>
      <xdr:rowOff>119381</xdr:rowOff>
    </xdr:from>
    <xdr:to>
      <xdr:col>31</xdr:col>
      <xdr:colOff>63500</xdr:colOff>
      <xdr:row>235</xdr:row>
      <xdr:rowOff>1</xdr:rowOff>
    </xdr:to>
    <xdr:sp macro="" textlink="">
      <xdr:nvSpPr>
        <xdr:cNvPr id="949" name="nuNumber: 978" hidden="1">
          <a:extLst>
            <a:ext uri="{FF2B5EF4-FFF2-40B4-BE49-F238E27FC236}">
              <a16:creationId xmlns:a16="http://schemas.microsoft.com/office/drawing/2014/main" id="{9BE80903-5698-481D-93FC-B487D95C63BB}"/>
            </a:ext>
          </a:extLst>
        </xdr:cNvPr>
        <xdr:cNvSpPr/>
      </xdr:nvSpPr>
      <xdr:spPr bwMode="auto">
        <a:xfrm>
          <a:off x="23383875" y="503066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235</xdr:row>
      <xdr:rowOff>119379</xdr:rowOff>
    </xdr:from>
    <xdr:to>
      <xdr:col>30</xdr:col>
      <xdr:colOff>63499</xdr:colOff>
      <xdr:row>235</xdr:row>
      <xdr:rowOff>182879</xdr:rowOff>
    </xdr:to>
    <xdr:sp macro="" textlink="">
      <xdr:nvSpPr>
        <xdr:cNvPr id="950" name="nuNumber: 979" hidden="1">
          <a:extLst>
            <a:ext uri="{FF2B5EF4-FFF2-40B4-BE49-F238E27FC236}">
              <a16:creationId xmlns:a16="http://schemas.microsoft.com/office/drawing/2014/main" id="{8B652FE2-A8FA-4C2A-99F1-A525F9FC840A}"/>
            </a:ext>
          </a:extLst>
        </xdr:cNvPr>
        <xdr:cNvSpPr/>
      </xdr:nvSpPr>
      <xdr:spPr bwMode="auto">
        <a:xfrm>
          <a:off x="22242779" y="50516154"/>
          <a:ext cx="61595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235</xdr:row>
      <xdr:rowOff>119379</xdr:rowOff>
    </xdr:from>
    <xdr:to>
      <xdr:col>31</xdr:col>
      <xdr:colOff>63500</xdr:colOff>
      <xdr:row>235</xdr:row>
      <xdr:rowOff>182879</xdr:rowOff>
    </xdr:to>
    <xdr:sp macro="" textlink="">
      <xdr:nvSpPr>
        <xdr:cNvPr id="951" name="nuNumber: 980" hidden="1">
          <a:extLst>
            <a:ext uri="{FF2B5EF4-FFF2-40B4-BE49-F238E27FC236}">
              <a16:creationId xmlns:a16="http://schemas.microsoft.com/office/drawing/2014/main" id="{A2DAA9AC-F406-46B9-89C6-5AEBF96B44A0}"/>
            </a:ext>
          </a:extLst>
        </xdr:cNvPr>
        <xdr:cNvSpPr/>
      </xdr:nvSpPr>
      <xdr:spPr bwMode="auto">
        <a:xfrm>
          <a:off x="23383875" y="505161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239</xdr:row>
      <xdr:rowOff>119379</xdr:rowOff>
    </xdr:from>
    <xdr:to>
      <xdr:col>30</xdr:col>
      <xdr:colOff>63499</xdr:colOff>
      <xdr:row>239</xdr:row>
      <xdr:rowOff>182879</xdr:rowOff>
    </xdr:to>
    <xdr:sp macro="" textlink="">
      <xdr:nvSpPr>
        <xdr:cNvPr id="952" name="nuNumber: 981" hidden="1">
          <a:extLst>
            <a:ext uri="{FF2B5EF4-FFF2-40B4-BE49-F238E27FC236}">
              <a16:creationId xmlns:a16="http://schemas.microsoft.com/office/drawing/2014/main" id="{A335F684-AB92-4317-86AE-D7349933496C}"/>
            </a:ext>
          </a:extLst>
        </xdr:cNvPr>
        <xdr:cNvSpPr/>
      </xdr:nvSpPr>
      <xdr:spPr bwMode="auto">
        <a:xfrm>
          <a:off x="22242779" y="51287679"/>
          <a:ext cx="61595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239</xdr:row>
      <xdr:rowOff>119379</xdr:rowOff>
    </xdr:from>
    <xdr:to>
      <xdr:col>31</xdr:col>
      <xdr:colOff>63500</xdr:colOff>
      <xdr:row>239</xdr:row>
      <xdr:rowOff>182879</xdr:rowOff>
    </xdr:to>
    <xdr:sp macro="" textlink="">
      <xdr:nvSpPr>
        <xdr:cNvPr id="953" name="nuNumber: 982" hidden="1">
          <a:extLst>
            <a:ext uri="{FF2B5EF4-FFF2-40B4-BE49-F238E27FC236}">
              <a16:creationId xmlns:a16="http://schemas.microsoft.com/office/drawing/2014/main" id="{5577B500-E506-4556-929D-CCF293E0B23A}"/>
            </a:ext>
          </a:extLst>
        </xdr:cNvPr>
        <xdr:cNvSpPr/>
      </xdr:nvSpPr>
      <xdr:spPr bwMode="auto">
        <a:xfrm>
          <a:off x="23383875" y="512876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240</xdr:row>
      <xdr:rowOff>119381</xdr:rowOff>
    </xdr:from>
    <xdr:to>
      <xdr:col>30</xdr:col>
      <xdr:colOff>63499</xdr:colOff>
      <xdr:row>241</xdr:row>
      <xdr:rowOff>1</xdr:rowOff>
    </xdr:to>
    <xdr:sp macro="" textlink="">
      <xdr:nvSpPr>
        <xdr:cNvPr id="954" name="nuNumber: 983" hidden="1">
          <a:extLst>
            <a:ext uri="{FF2B5EF4-FFF2-40B4-BE49-F238E27FC236}">
              <a16:creationId xmlns:a16="http://schemas.microsoft.com/office/drawing/2014/main" id="{6EE46955-98DA-4694-AB29-8098DBFD6DFC}"/>
            </a:ext>
          </a:extLst>
        </xdr:cNvPr>
        <xdr:cNvSpPr/>
      </xdr:nvSpPr>
      <xdr:spPr bwMode="auto">
        <a:xfrm>
          <a:off x="22242779" y="51497231"/>
          <a:ext cx="61595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240</xdr:row>
      <xdr:rowOff>119381</xdr:rowOff>
    </xdr:from>
    <xdr:to>
      <xdr:col>31</xdr:col>
      <xdr:colOff>63500</xdr:colOff>
      <xdr:row>241</xdr:row>
      <xdr:rowOff>1</xdr:rowOff>
    </xdr:to>
    <xdr:sp macro="" textlink="">
      <xdr:nvSpPr>
        <xdr:cNvPr id="955" name="nuNumber: 984" hidden="1">
          <a:extLst>
            <a:ext uri="{FF2B5EF4-FFF2-40B4-BE49-F238E27FC236}">
              <a16:creationId xmlns:a16="http://schemas.microsoft.com/office/drawing/2014/main" id="{FF17AD63-95D6-49D1-AD57-AD2BF7B77CFE}"/>
            </a:ext>
          </a:extLst>
        </xdr:cNvPr>
        <xdr:cNvSpPr/>
      </xdr:nvSpPr>
      <xdr:spPr bwMode="auto">
        <a:xfrm>
          <a:off x="23383875" y="5149723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241</xdr:row>
      <xdr:rowOff>119380</xdr:rowOff>
    </xdr:from>
    <xdr:to>
      <xdr:col>30</xdr:col>
      <xdr:colOff>63499</xdr:colOff>
      <xdr:row>242</xdr:row>
      <xdr:rowOff>0</xdr:rowOff>
    </xdr:to>
    <xdr:sp macro="" textlink="">
      <xdr:nvSpPr>
        <xdr:cNvPr id="956" name="nuNumber: 985" hidden="1">
          <a:extLst>
            <a:ext uri="{FF2B5EF4-FFF2-40B4-BE49-F238E27FC236}">
              <a16:creationId xmlns:a16="http://schemas.microsoft.com/office/drawing/2014/main" id="{CB76CBB9-C4FB-40D2-8626-F558307B884A}"/>
            </a:ext>
          </a:extLst>
        </xdr:cNvPr>
        <xdr:cNvSpPr/>
      </xdr:nvSpPr>
      <xdr:spPr bwMode="auto">
        <a:xfrm>
          <a:off x="22242779" y="51706780"/>
          <a:ext cx="61595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241</xdr:row>
      <xdr:rowOff>119380</xdr:rowOff>
    </xdr:from>
    <xdr:to>
      <xdr:col>31</xdr:col>
      <xdr:colOff>63500</xdr:colOff>
      <xdr:row>242</xdr:row>
      <xdr:rowOff>0</xdr:rowOff>
    </xdr:to>
    <xdr:sp macro="" textlink="">
      <xdr:nvSpPr>
        <xdr:cNvPr id="957" name="nuNumber: 986" hidden="1">
          <a:extLst>
            <a:ext uri="{FF2B5EF4-FFF2-40B4-BE49-F238E27FC236}">
              <a16:creationId xmlns:a16="http://schemas.microsoft.com/office/drawing/2014/main" id="{592B5C22-A5AC-4755-956A-A6F508F2D833}"/>
            </a:ext>
          </a:extLst>
        </xdr:cNvPr>
        <xdr:cNvSpPr/>
      </xdr:nvSpPr>
      <xdr:spPr bwMode="auto">
        <a:xfrm>
          <a:off x="23383875" y="517067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245</xdr:row>
      <xdr:rowOff>119379</xdr:rowOff>
    </xdr:from>
    <xdr:to>
      <xdr:col>30</xdr:col>
      <xdr:colOff>63499</xdr:colOff>
      <xdr:row>245</xdr:row>
      <xdr:rowOff>182879</xdr:rowOff>
    </xdr:to>
    <xdr:sp macro="" textlink="">
      <xdr:nvSpPr>
        <xdr:cNvPr id="958" name="nuNumber: 987" hidden="1">
          <a:extLst>
            <a:ext uri="{FF2B5EF4-FFF2-40B4-BE49-F238E27FC236}">
              <a16:creationId xmlns:a16="http://schemas.microsoft.com/office/drawing/2014/main" id="{E21D7F1D-E7DC-435D-8CB0-207C3D4F48B5}"/>
            </a:ext>
          </a:extLst>
        </xdr:cNvPr>
        <xdr:cNvSpPr/>
      </xdr:nvSpPr>
      <xdr:spPr bwMode="auto">
        <a:xfrm>
          <a:off x="22242779" y="52468779"/>
          <a:ext cx="61595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245</xdr:row>
      <xdr:rowOff>119379</xdr:rowOff>
    </xdr:from>
    <xdr:to>
      <xdr:col>31</xdr:col>
      <xdr:colOff>63500</xdr:colOff>
      <xdr:row>245</xdr:row>
      <xdr:rowOff>182879</xdr:rowOff>
    </xdr:to>
    <xdr:sp macro="" textlink="">
      <xdr:nvSpPr>
        <xdr:cNvPr id="959" name="nuNumber: 988" hidden="1">
          <a:extLst>
            <a:ext uri="{FF2B5EF4-FFF2-40B4-BE49-F238E27FC236}">
              <a16:creationId xmlns:a16="http://schemas.microsoft.com/office/drawing/2014/main" id="{6A6A8021-4CB8-4415-8DD8-5E126A3F0840}"/>
            </a:ext>
          </a:extLst>
        </xdr:cNvPr>
        <xdr:cNvSpPr/>
      </xdr:nvSpPr>
      <xdr:spPr bwMode="auto">
        <a:xfrm>
          <a:off x="23383875" y="524687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246</xdr:row>
      <xdr:rowOff>119381</xdr:rowOff>
    </xdr:from>
    <xdr:to>
      <xdr:col>30</xdr:col>
      <xdr:colOff>63499</xdr:colOff>
      <xdr:row>247</xdr:row>
      <xdr:rowOff>1</xdr:rowOff>
    </xdr:to>
    <xdr:sp macro="" textlink="">
      <xdr:nvSpPr>
        <xdr:cNvPr id="960" name="nuNumber: 989" hidden="1">
          <a:extLst>
            <a:ext uri="{FF2B5EF4-FFF2-40B4-BE49-F238E27FC236}">
              <a16:creationId xmlns:a16="http://schemas.microsoft.com/office/drawing/2014/main" id="{6211BBE5-A078-4248-8DC4-54A1344432D7}"/>
            </a:ext>
          </a:extLst>
        </xdr:cNvPr>
        <xdr:cNvSpPr/>
      </xdr:nvSpPr>
      <xdr:spPr bwMode="auto">
        <a:xfrm>
          <a:off x="22242779" y="52678331"/>
          <a:ext cx="61595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246</xdr:row>
      <xdr:rowOff>119381</xdr:rowOff>
    </xdr:from>
    <xdr:to>
      <xdr:col>31</xdr:col>
      <xdr:colOff>63500</xdr:colOff>
      <xdr:row>247</xdr:row>
      <xdr:rowOff>1</xdr:rowOff>
    </xdr:to>
    <xdr:sp macro="" textlink="">
      <xdr:nvSpPr>
        <xdr:cNvPr id="961" name="nuNumber: 990" hidden="1">
          <a:extLst>
            <a:ext uri="{FF2B5EF4-FFF2-40B4-BE49-F238E27FC236}">
              <a16:creationId xmlns:a16="http://schemas.microsoft.com/office/drawing/2014/main" id="{B8FB78F4-8F58-4963-BA50-803DCA53399D}"/>
            </a:ext>
          </a:extLst>
        </xdr:cNvPr>
        <xdr:cNvSpPr/>
      </xdr:nvSpPr>
      <xdr:spPr bwMode="auto">
        <a:xfrm>
          <a:off x="23383875" y="5267833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251</xdr:row>
      <xdr:rowOff>119379</xdr:rowOff>
    </xdr:from>
    <xdr:to>
      <xdr:col>30</xdr:col>
      <xdr:colOff>63499</xdr:colOff>
      <xdr:row>251</xdr:row>
      <xdr:rowOff>182879</xdr:rowOff>
    </xdr:to>
    <xdr:sp macro="" textlink="">
      <xdr:nvSpPr>
        <xdr:cNvPr id="962" name="nuNumber: 991" hidden="1">
          <a:extLst>
            <a:ext uri="{FF2B5EF4-FFF2-40B4-BE49-F238E27FC236}">
              <a16:creationId xmlns:a16="http://schemas.microsoft.com/office/drawing/2014/main" id="{3EC84947-CCAD-41C8-8937-7FA5856AEDEC}"/>
            </a:ext>
          </a:extLst>
        </xdr:cNvPr>
        <xdr:cNvSpPr/>
      </xdr:nvSpPr>
      <xdr:spPr bwMode="auto">
        <a:xfrm>
          <a:off x="22242779" y="53611779"/>
          <a:ext cx="61595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251</xdr:row>
      <xdr:rowOff>119379</xdr:rowOff>
    </xdr:from>
    <xdr:to>
      <xdr:col>31</xdr:col>
      <xdr:colOff>63500</xdr:colOff>
      <xdr:row>251</xdr:row>
      <xdr:rowOff>182879</xdr:rowOff>
    </xdr:to>
    <xdr:sp macro="" textlink="">
      <xdr:nvSpPr>
        <xdr:cNvPr id="963" name="nuNumber: 992" hidden="1">
          <a:extLst>
            <a:ext uri="{FF2B5EF4-FFF2-40B4-BE49-F238E27FC236}">
              <a16:creationId xmlns:a16="http://schemas.microsoft.com/office/drawing/2014/main" id="{D9291B97-C07A-497C-A116-F0B2B45ADB5E}"/>
            </a:ext>
          </a:extLst>
        </xdr:cNvPr>
        <xdr:cNvSpPr/>
      </xdr:nvSpPr>
      <xdr:spPr bwMode="auto">
        <a:xfrm>
          <a:off x="23383875" y="536117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255</xdr:row>
      <xdr:rowOff>119381</xdr:rowOff>
    </xdr:from>
    <xdr:to>
      <xdr:col>30</xdr:col>
      <xdr:colOff>63499</xdr:colOff>
      <xdr:row>256</xdr:row>
      <xdr:rowOff>1</xdr:rowOff>
    </xdr:to>
    <xdr:sp macro="" textlink="">
      <xdr:nvSpPr>
        <xdr:cNvPr id="964" name="nuNumber: 993" hidden="1">
          <a:extLst>
            <a:ext uri="{FF2B5EF4-FFF2-40B4-BE49-F238E27FC236}">
              <a16:creationId xmlns:a16="http://schemas.microsoft.com/office/drawing/2014/main" id="{69884574-2E93-4557-9C0F-4B6871AA9AD1}"/>
            </a:ext>
          </a:extLst>
        </xdr:cNvPr>
        <xdr:cNvSpPr/>
      </xdr:nvSpPr>
      <xdr:spPr bwMode="auto">
        <a:xfrm>
          <a:off x="22242779" y="54411881"/>
          <a:ext cx="61595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255</xdr:row>
      <xdr:rowOff>119381</xdr:rowOff>
    </xdr:from>
    <xdr:to>
      <xdr:col>31</xdr:col>
      <xdr:colOff>63500</xdr:colOff>
      <xdr:row>256</xdr:row>
      <xdr:rowOff>1</xdr:rowOff>
    </xdr:to>
    <xdr:sp macro="" textlink="">
      <xdr:nvSpPr>
        <xdr:cNvPr id="965" name="nuNumber: 994" hidden="1">
          <a:extLst>
            <a:ext uri="{FF2B5EF4-FFF2-40B4-BE49-F238E27FC236}">
              <a16:creationId xmlns:a16="http://schemas.microsoft.com/office/drawing/2014/main" id="{D7803F44-C6CB-43EE-81E3-6A748D071B39}"/>
            </a:ext>
          </a:extLst>
        </xdr:cNvPr>
        <xdr:cNvSpPr/>
      </xdr:nvSpPr>
      <xdr:spPr bwMode="auto">
        <a:xfrm>
          <a:off x="23383875" y="544118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256</xdr:row>
      <xdr:rowOff>119379</xdr:rowOff>
    </xdr:from>
    <xdr:to>
      <xdr:col>31</xdr:col>
      <xdr:colOff>63500</xdr:colOff>
      <xdr:row>256</xdr:row>
      <xdr:rowOff>182879</xdr:rowOff>
    </xdr:to>
    <xdr:sp macro="" textlink="">
      <xdr:nvSpPr>
        <xdr:cNvPr id="966" name="nuNumber: 995" hidden="1">
          <a:extLst>
            <a:ext uri="{FF2B5EF4-FFF2-40B4-BE49-F238E27FC236}">
              <a16:creationId xmlns:a16="http://schemas.microsoft.com/office/drawing/2014/main" id="{E102AF15-9D28-47CD-A495-39453DAAB9D0}"/>
            </a:ext>
          </a:extLst>
        </xdr:cNvPr>
        <xdr:cNvSpPr/>
      </xdr:nvSpPr>
      <xdr:spPr bwMode="auto">
        <a:xfrm>
          <a:off x="23383875" y="5462142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257</xdr:row>
      <xdr:rowOff>119381</xdr:rowOff>
    </xdr:from>
    <xdr:to>
      <xdr:col>30</xdr:col>
      <xdr:colOff>63499</xdr:colOff>
      <xdr:row>258</xdr:row>
      <xdr:rowOff>1</xdr:rowOff>
    </xdr:to>
    <xdr:sp macro="" textlink="">
      <xdr:nvSpPr>
        <xdr:cNvPr id="967" name="nuNumber: 996" hidden="1">
          <a:extLst>
            <a:ext uri="{FF2B5EF4-FFF2-40B4-BE49-F238E27FC236}">
              <a16:creationId xmlns:a16="http://schemas.microsoft.com/office/drawing/2014/main" id="{44C189DA-C38D-4F63-8031-F5BE561C3CE1}"/>
            </a:ext>
          </a:extLst>
        </xdr:cNvPr>
        <xdr:cNvSpPr/>
      </xdr:nvSpPr>
      <xdr:spPr bwMode="auto">
        <a:xfrm>
          <a:off x="22242779" y="54830981"/>
          <a:ext cx="61595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257</xdr:row>
      <xdr:rowOff>119381</xdr:rowOff>
    </xdr:from>
    <xdr:to>
      <xdr:col>31</xdr:col>
      <xdr:colOff>63500</xdr:colOff>
      <xdr:row>258</xdr:row>
      <xdr:rowOff>1</xdr:rowOff>
    </xdr:to>
    <xdr:sp macro="" textlink="">
      <xdr:nvSpPr>
        <xdr:cNvPr id="968" name="nuNumber: 997" hidden="1">
          <a:extLst>
            <a:ext uri="{FF2B5EF4-FFF2-40B4-BE49-F238E27FC236}">
              <a16:creationId xmlns:a16="http://schemas.microsoft.com/office/drawing/2014/main" id="{B362C298-F4B4-49BA-91B8-B7E9C2BA2A5E}"/>
            </a:ext>
          </a:extLst>
        </xdr:cNvPr>
        <xdr:cNvSpPr/>
      </xdr:nvSpPr>
      <xdr:spPr bwMode="auto">
        <a:xfrm>
          <a:off x="23383875" y="548309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258</xdr:row>
      <xdr:rowOff>119380</xdr:rowOff>
    </xdr:from>
    <xdr:to>
      <xdr:col>30</xdr:col>
      <xdr:colOff>63499</xdr:colOff>
      <xdr:row>259</xdr:row>
      <xdr:rowOff>0</xdr:rowOff>
    </xdr:to>
    <xdr:sp macro="" textlink="">
      <xdr:nvSpPr>
        <xdr:cNvPr id="969" name="nuNumber: 998" hidden="1">
          <a:extLst>
            <a:ext uri="{FF2B5EF4-FFF2-40B4-BE49-F238E27FC236}">
              <a16:creationId xmlns:a16="http://schemas.microsoft.com/office/drawing/2014/main" id="{12CC0A92-C34B-455B-9233-92AE06C412C9}"/>
            </a:ext>
          </a:extLst>
        </xdr:cNvPr>
        <xdr:cNvSpPr/>
      </xdr:nvSpPr>
      <xdr:spPr bwMode="auto">
        <a:xfrm>
          <a:off x="22242779" y="55040530"/>
          <a:ext cx="61595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258</xdr:row>
      <xdr:rowOff>119380</xdr:rowOff>
    </xdr:from>
    <xdr:to>
      <xdr:col>31</xdr:col>
      <xdr:colOff>63500</xdr:colOff>
      <xdr:row>259</xdr:row>
      <xdr:rowOff>0</xdr:rowOff>
    </xdr:to>
    <xdr:sp macro="" textlink="">
      <xdr:nvSpPr>
        <xdr:cNvPr id="970" name="nuNumber: 999" hidden="1">
          <a:extLst>
            <a:ext uri="{FF2B5EF4-FFF2-40B4-BE49-F238E27FC236}">
              <a16:creationId xmlns:a16="http://schemas.microsoft.com/office/drawing/2014/main" id="{9148302D-D412-4335-BFE6-F08ECB43F785}"/>
            </a:ext>
          </a:extLst>
        </xdr:cNvPr>
        <xdr:cNvSpPr/>
      </xdr:nvSpPr>
      <xdr:spPr bwMode="auto">
        <a:xfrm>
          <a:off x="23383875" y="55040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259</xdr:row>
      <xdr:rowOff>119379</xdr:rowOff>
    </xdr:from>
    <xdr:to>
      <xdr:col>30</xdr:col>
      <xdr:colOff>63499</xdr:colOff>
      <xdr:row>259</xdr:row>
      <xdr:rowOff>182879</xdr:rowOff>
    </xdr:to>
    <xdr:sp macro="" textlink="">
      <xdr:nvSpPr>
        <xdr:cNvPr id="971" name="nuNumber: 1000" hidden="1">
          <a:extLst>
            <a:ext uri="{FF2B5EF4-FFF2-40B4-BE49-F238E27FC236}">
              <a16:creationId xmlns:a16="http://schemas.microsoft.com/office/drawing/2014/main" id="{66485D8B-1CE6-482B-B736-5F77A4F0E8DA}"/>
            </a:ext>
          </a:extLst>
        </xdr:cNvPr>
        <xdr:cNvSpPr/>
      </xdr:nvSpPr>
      <xdr:spPr bwMode="auto">
        <a:xfrm>
          <a:off x="22242779" y="55250079"/>
          <a:ext cx="61595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259</xdr:row>
      <xdr:rowOff>119379</xdr:rowOff>
    </xdr:from>
    <xdr:to>
      <xdr:col>31</xdr:col>
      <xdr:colOff>63500</xdr:colOff>
      <xdr:row>259</xdr:row>
      <xdr:rowOff>182879</xdr:rowOff>
    </xdr:to>
    <xdr:sp macro="" textlink="">
      <xdr:nvSpPr>
        <xdr:cNvPr id="972" name="nuNumber: 1001" hidden="1">
          <a:extLst>
            <a:ext uri="{FF2B5EF4-FFF2-40B4-BE49-F238E27FC236}">
              <a16:creationId xmlns:a16="http://schemas.microsoft.com/office/drawing/2014/main" id="{75F6F5C4-6284-4A91-AB5E-E84687A4AC2C}"/>
            </a:ext>
          </a:extLst>
        </xdr:cNvPr>
        <xdr:cNvSpPr/>
      </xdr:nvSpPr>
      <xdr:spPr bwMode="auto">
        <a:xfrm>
          <a:off x="23383875" y="552500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260</xdr:row>
      <xdr:rowOff>294641</xdr:rowOff>
    </xdr:from>
    <xdr:to>
      <xdr:col>30</xdr:col>
      <xdr:colOff>63499</xdr:colOff>
      <xdr:row>261</xdr:row>
      <xdr:rowOff>1</xdr:rowOff>
    </xdr:to>
    <xdr:sp macro="" textlink="">
      <xdr:nvSpPr>
        <xdr:cNvPr id="973" name="nuNumber: 1002" hidden="1">
          <a:extLst>
            <a:ext uri="{FF2B5EF4-FFF2-40B4-BE49-F238E27FC236}">
              <a16:creationId xmlns:a16="http://schemas.microsoft.com/office/drawing/2014/main" id="{0CB60772-C805-4F9C-BBE5-22F0C44297DA}"/>
            </a:ext>
          </a:extLst>
        </xdr:cNvPr>
        <xdr:cNvSpPr/>
      </xdr:nvSpPr>
      <xdr:spPr bwMode="auto">
        <a:xfrm>
          <a:off x="22242779" y="55634891"/>
          <a:ext cx="61595" cy="12446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260</xdr:row>
      <xdr:rowOff>294641</xdr:rowOff>
    </xdr:from>
    <xdr:to>
      <xdr:col>31</xdr:col>
      <xdr:colOff>63500</xdr:colOff>
      <xdr:row>261</xdr:row>
      <xdr:rowOff>1</xdr:rowOff>
    </xdr:to>
    <xdr:sp macro="" textlink="">
      <xdr:nvSpPr>
        <xdr:cNvPr id="974" name="nuNumber: 1003" hidden="1">
          <a:extLst>
            <a:ext uri="{FF2B5EF4-FFF2-40B4-BE49-F238E27FC236}">
              <a16:creationId xmlns:a16="http://schemas.microsoft.com/office/drawing/2014/main" id="{C6FDD120-6E8E-45BF-9C8F-AD28F90D9135}"/>
            </a:ext>
          </a:extLst>
        </xdr:cNvPr>
        <xdr:cNvSpPr/>
      </xdr:nvSpPr>
      <xdr:spPr bwMode="auto">
        <a:xfrm>
          <a:off x="23383875" y="55634891"/>
          <a:ext cx="63500" cy="12446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261</xdr:row>
      <xdr:rowOff>294641</xdr:rowOff>
    </xdr:from>
    <xdr:to>
      <xdr:col>30</xdr:col>
      <xdr:colOff>63499</xdr:colOff>
      <xdr:row>262</xdr:row>
      <xdr:rowOff>1</xdr:rowOff>
    </xdr:to>
    <xdr:sp macro="" textlink="">
      <xdr:nvSpPr>
        <xdr:cNvPr id="975" name="nuNumber: 1004" hidden="1">
          <a:extLst>
            <a:ext uri="{FF2B5EF4-FFF2-40B4-BE49-F238E27FC236}">
              <a16:creationId xmlns:a16="http://schemas.microsoft.com/office/drawing/2014/main" id="{5ECDAE84-FE05-4AAF-851D-EFAEA1240756}"/>
            </a:ext>
          </a:extLst>
        </xdr:cNvPr>
        <xdr:cNvSpPr/>
      </xdr:nvSpPr>
      <xdr:spPr bwMode="auto">
        <a:xfrm>
          <a:off x="22242779" y="56053991"/>
          <a:ext cx="61595" cy="12446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261</xdr:row>
      <xdr:rowOff>294641</xdr:rowOff>
    </xdr:from>
    <xdr:to>
      <xdr:col>31</xdr:col>
      <xdr:colOff>63500</xdr:colOff>
      <xdr:row>262</xdr:row>
      <xdr:rowOff>1</xdr:rowOff>
    </xdr:to>
    <xdr:sp macro="" textlink="">
      <xdr:nvSpPr>
        <xdr:cNvPr id="976" name="nuNumber: 1005" hidden="1">
          <a:extLst>
            <a:ext uri="{FF2B5EF4-FFF2-40B4-BE49-F238E27FC236}">
              <a16:creationId xmlns:a16="http://schemas.microsoft.com/office/drawing/2014/main" id="{7B9F2EAD-FA4C-42AF-B613-99E5C5578C7F}"/>
            </a:ext>
          </a:extLst>
        </xdr:cNvPr>
        <xdr:cNvSpPr/>
      </xdr:nvSpPr>
      <xdr:spPr bwMode="auto">
        <a:xfrm>
          <a:off x="23383875" y="56053991"/>
          <a:ext cx="63500" cy="12446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262</xdr:row>
      <xdr:rowOff>119379</xdr:rowOff>
    </xdr:from>
    <xdr:to>
      <xdr:col>30</xdr:col>
      <xdr:colOff>63499</xdr:colOff>
      <xdr:row>262</xdr:row>
      <xdr:rowOff>182879</xdr:rowOff>
    </xdr:to>
    <xdr:sp macro="" textlink="">
      <xdr:nvSpPr>
        <xdr:cNvPr id="977" name="nuNumber: 1006" hidden="1">
          <a:extLst>
            <a:ext uri="{FF2B5EF4-FFF2-40B4-BE49-F238E27FC236}">
              <a16:creationId xmlns:a16="http://schemas.microsoft.com/office/drawing/2014/main" id="{021881E6-BBE8-48B9-AE21-F9DD50CA173B}"/>
            </a:ext>
          </a:extLst>
        </xdr:cNvPr>
        <xdr:cNvSpPr/>
      </xdr:nvSpPr>
      <xdr:spPr bwMode="auto">
        <a:xfrm>
          <a:off x="22242779" y="56297829"/>
          <a:ext cx="61595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262</xdr:row>
      <xdr:rowOff>119379</xdr:rowOff>
    </xdr:from>
    <xdr:to>
      <xdr:col>31</xdr:col>
      <xdr:colOff>63500</xdr:colOff>
      <xdr:row>262</xdr:row>
      <xdr:rowOff>182879</xdr:rowOff>
    </xdr:to>
    <xdr:sp macro="" textlink="">
      <xdr:nvSpPr>
        <xdr:cNvPr id="978" name="nuNumber: 1007" hidden="1">
          <a:extLst>
            <a:ext uri="{FF2B5EF4-FFF2-40B4-BE49-F238E27FC236}">
              <a16:creationId xmlns:a16="http://schemas.microsoft.com/office/drawing/2014/main" id="{A65AFA21-B831-47BC-9A22-327A648B9E09}"/>
            </a:ext>
          </a:extLst>
        </xdr:cNvPr>
        <xdr:cNvSpPr/>
      </xdr:nvSpPr>
      <xdr:spPr bwMode="auto">
        <a:xfrm>
          <a:off x="23383875" y="5629782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264</xdr:row>
      <xdr:rowOff>119380</xdr:rowOff>
    </xdr:from>
    <xdr:to>
      <xdr:col>6</xdr:col>
      <xdr:colOff>63500</xdr:colOff>
      <xdr:row>265</xdr:row>
      <xdr:rowOff>0</xdr:rowOff>
    </xdr:to>
    <xdr:sp macro="" textlink="">
      <xdr:nvSpPr>
        <xdr:cNvPr id="979" name="nuNumber: 1008" hidden="1">
          <a:extLst>
            <a:ext uri="{FF2B5EF4-FFF2-40B4-BE49-F238E27FC236}">
              <a16:creationId xmlns:a16="http://schemas.microsoft.com/office/drawing/2014/main" id="{8DB26EFD-954F-40A2-8763-7E6AD5826476}"/>
            </a:ext>
          </a:extLst>
        </xdr:cNvPr>
        <xdr:cNvSpPr/>
      </xdr:nvSpPr>
      <xdr:spPr bwMode="auto">
        <a:xfrm>
          <a:off x="3800475" y="56716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264</xdr:row>
      <xdr:rowOff>119380</xdr:rowOff>
    </xdr:from>
    <xdr:to>
      <xdr:col>7</xdr:col>
      <xdr:colOff>63500</xdr:colOff>
      <xdr:row>265</xdr:row>
      <xdr:rowOff>0</xdr:rowOff>
    </xdr:to>
    <xdr:sp macro="" textlink="">
      <xdr:nvSpPr>
        <xdr:cNvPr id="980" name="nuNumber: 1009" hidden="1">
          <a:extLst>
            <a:ext uri="{FF2B5EF4-FFF2-40B4-BE49-F238E27FC236}">
              <a16:creationId xmlns:a16="http://schemas.microsoft.com/office/drawing/2014/main" id="{3D9A632F-8CD7-49EE-97C3-465991192B71}"/>
            </a:ext>
          </a:extLst>
        </xdr:cNvPr>
        <xdr:cNvSpPr/>
      </xdr:nvSpPr>
      <xdr:spPr bwMode="auto">
        <a:xfrm>
          <a:off x="4676775" y="56716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264</xdr:row>
      <xdr:rowOff>119380</xdr:rowOff>
    </xdr:from>
    <xdr:to>
      <xdr:col>8</xdr:col>
      <xdr:colOff>63500</xdr:colOff>
      <xdr:row>265</xdr:row>
      <xdr:rowOff>0</xdr:rowOff>
    </xdr:to>
    <xdr:sp macro="" textlink="">
      <xdr:nvSpPr>
        <xdr:cNvPr id="981" name="nuNumber: 1010" hidden="1">
          <a:extLst>
            <a:ext uri="{FF2B5EF4-FFF2-40B4-BE49-F238E27FC236}">
              <a16:creationId xmlns:a16="http://schemas.microsoft.com/office/drawing/2014/main" id="{E9424130-DB03-48A1-B93F-1B39F33EBE15}"/>
            </a:ext>
          </a:extLst>
        </xdr:cNvPr>
        <xdr:cNvSpPr/>
      </xdr:nvSpPr>
      <xdr:spPr bwMode="auto">
        <a:xfrm>
          <a:off x="5562600" y="56716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264</xdr:row>
      <xdr:rowOff>119380</xdr:rowOff>
    </xdr:from>
    <xdr:to>
      <xdr:col>9</xdr:col>
      <xdr:colOff>63500</xdr:colOff>
      <xdr:row>265</xdr:row>
      <xdr:rowOff>0</xdr:rowOff>
    </xdr:to>
    <xdr:sp macro="" textlink="">
      <xdr:nvSpPr>
        <xdr:cNvPr id="982" name="nuNumber: 1011" hidden="1">
          <a:extLst>
            <a:ext uri="{FF2B5EF4-FFF2-40B4-BE49-F238E27FC236}">
              <a16:creationId xmlns:a16="http://schemas.microsoft.com/office/drawing/2014/main" id="{FF5B19C1-0CD3-419D-9C06-74416268F2E0}"/>
            </a:ext>
          </a:extLst>
        </xdr:cNvPr>
        <xdr:cNvSpPr/>
      </xdr:nvSpPr>
      <xdr:spPr bwMode="auto">
        <a:xfrm>
          <a:off x="6467475" y="56716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264</xdr:row>
      <xdr:rowOff>119380</xdr:rowOff>
    </xdr:from>
    <xdr:to>
      <xdr:col>9</xdr:col>
      <xdr:colOff>63500</xdr:colOff>
      <xdr:row>265</xdr:row>
      <xdr:rowOff>0</xdr:rowOff>
    </xdr:to>
    <xdr:sp macro="" textlink="">
      <xdr:nvSpPr>
        <xdr:cNvPr id="983" name="nuNumber: 1012" hidden="1">
          <a:extLst>
            <a:ext uri="{FF2B5EF4-FFF2-40B4-BE49-F238E27FC236}">
              <a16:creationId xmlns:a16="http://schemas.microsoft.com/office/drawing/2014/main" id="{2622941B-1584-4238-A5C2-3CE8BF4AF7E7}"/>
            </a:ext>
          </a:extLst>
        </xdr:cNvPr>
        <xdr:cNvSpPr/>
      </xdr:nvSpPr>
      <xdr:spPr bwMode="auto">
        <a:xfrm>
          <a:off x="6467475" y="56716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264</xdr:row>
      <xdr:rowOff>119380</xdr:rowOff>
    </xdr:from>
    <xdr:to>
      <xdr:col>10</xdr:col>
      <xdr:colOff>63500</xdr:colOff>
      <xdr:row>265</xdr:row>
      <xdr:rowOff>0</xdr:rowOff>
    </xdr:to>
    <xdr:sp macro="" textlink="">
      <xdr:nvSpPr>
        <xdr:cNvPr id="984" name="nuNumber: 1013" hidden="1">
          <a:extLst>
            <a:ext uri="{FF2B5EF4-FFF2-40B4-BE49-F238E27FC236}">
              <a16:creationId xmlns:a16="http://schemas.microsoft.com/office/drawing/2014/main" id="{7FDF0980-3C86-46BA-A9BE-61D076AD1E1C}"/>
            </a:ext>
          </a:extLst>
        </xdr:cNvPr>
        <xdr:cNvSpPr/>
      </xdr:nvSpPr>
      <xdr:spPr bwMode="auto">
        <a:xfrm>
          <a:off x="7315200" y="56716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264</xdr:row>
      <xdr:rowOff>119380</xdr:rowOff>
    </xdr:from>
    <xdr:to>
      <xdr:col>11</xdr:col>
      <xdr:colOff>63500</xdr:colOff>
      <xdr:row>265</xdr:row>
      <xdr:rowOff>0</xdr:rowOff>
    </xdr:to>
    <xdr:sp macro="" textlink="">
      <xdr:nvSpPr>
        <xdr:cNvPr id="985" name="nuNumber: 1014" hidden="1">
          <a:extLst>
            <a:ext uri="{FF2B5EF4-FFF2-40B4-BE49-F238E27FC236}">
              <a16:creationId xmlns:a16="http://schemas.microsoft.com/office/drawing/2014/main" id="{A9E40B12-AF73-44CC-B813-F10C48A9D261}"/>
            </a:ext>
          </a:extLst>
        </xdr:cNvPr>
        <xdr:cNvSpPr/>
      </xdr:nvSpPr>
      <xdr:spPr bwMode="auto">
        <a:xfrm>
          <a:off x="8105775" y="56716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264</xdr:row>
      <xdr:rowOff>119380</xdr:rowOff>
    </xdr:from>
    <xdr:to>
      <xdr:col>12</xdr:col>
      <xdr:colOff>63500</xdr:colOff>
      <xdr:row>265</xdr:row>
      <xdr:rowOff>0</xdr:rowOff>
    </xdr:to>
    <xdr:sp macro="" textlink="">
      <xdr:nvSpPr>
        <xdr:cNvPr id="986" name="nuNumber: 1015" hidden="1">
          <a:extLst>
            <a:ext uri="{FF2B5EF4-FFF2-40B4-BE49-F238E27FC236}">
              <a16:creationId xmlns:a16="http://schemas.microsoft.com/office/drawing/2014/main" id="{D0E49BCF-B929-46AF-9720-58BC53197B64}"/>
            </a:ext>
          </a:extLst>
        </xdr:cNvPr>
        <xdr:cNvSpPr/>
      </xdr:nvSpPr>
      <xdr:spPr bwMode="auto">
        <a:xfrm>
          <a:off x="8972550" y="56716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264</xdr:row>
      <xdr:rowOff>119380</xdr:rowOff>
    </xdr:from>
    <xdr:to>
      <xdr:col>13</xdr:col>
      <xdr:colOff>63500</xdr:colOff>
      <xdr:row>265</xdr:row>
      <xdr:rowOff>0</xdr:rowOff>
    </xdr:to>
    <xdr:sp macro="" textlink="">
      <xdr:nvSpPr>
        <xdr:cNvPr id="987" name="nuNumber: 1016" hidden="1">
          <a:extLst>
            <a:ext uri="{FF2B5EF4-FFF2-40B4-BE49-F238E27FC236}">
              <a16:creationId xmlns:a16="http://schemas.microsoft.com/office/drawing/2014/main" id="{746BDEC2-C24A-4B84-9DAA-77C766055BCC}"/>
            </a:ext>
          </a:extLst>
        </xdr:cNvPr>
        <xdr:cNvSpPr/>
      </xdr:nvSpPr>
      <xdr:spPr bwMode="auto">
        <a:xfrm>
          <a:off x="9753600" y="56716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264</xdr:row>
      <xdr:rowOff>119380</xdr:rowOff>
    </xdr:from>
    <xdr:to>
      <xdr:col>14</xdr:col>
      <xdr:colOff>63500</xdr:colOff>
      <xdr:row>265</xdr:row>
      <xdr:rowOff>0</xdr:rowOff>
    </xdr:to>
    <xdr:sp macro="" textlink="">
      <xdr:nvSpPr>
        <xdr:cNvPr id="988" name="nuNumber: 1017" hidden="1">
          <a:extLst>
            <a:ext uri="{FF2B5EF4-FFF2-40B4-BE49-F238E27FC236}">
              <a16:creationId xmlns:a16="http://schemas.microsoft.com/office/drawing/2014/main" id="{3E0035BF-BCD4-4B20-AB4D-93853E2FFD65}"/>
            </a:ext>
          </a:extLst>
        </xdr:cNvPr>
        <xdr:cNvSpPr/>
      </xdr:nvSpPr>
      <xdr:spPr bwMode="auto">
        <a:xfrm>
          <a:off x="10515600" y="56716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264</xdr:row>
      <xdr:rowOff>119380</xdr:rowOff>
    </xdr:from>
    <xdr:to>
      <xdr:col>15</xdr:col>
      <xdr:colOff>63500</xdr:colOff>
      <xdr:row>265</xdr:row>
      <xdr:rowOff>0</xdr:rowOff>
    </xdr:to>
    <xdr:sp macro="" textlink="">
      <xdr:nvSpPr>
        <xdr:cNvPr id="989" name="nuNumber: 1018" hidden="1">
          <a:extLst>
            <a:ext uri="{FF2B5EF4-FFF2-40B4-BE49-F238E27FC236}">
              <a16:creationId xmlns:a16="http://schemas.microsoft.com/office/drawing/2014/main" id="{8467EFC6-EBAD-4239-97A6-83CF26A1A086}"/>
            </a:ext>
          </a:extLst>
        </xdr:cNvPr>
        <xdr:cNvSpPr/>
      </xdr:nvSpPr>
      <xdr:spPr bwMode="auto">
        <a:xfrm>
          <a:off x="11325225" y="56716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264</xdr:row>
      <xdr:rowOff>119380</xdr:rowOff>
    </xdr:from>
    <xdr:to>
      <xdr:col>16</xdr:col>
      <xdr:colOff>63500</xdr:colOff>
      <xdr:row>265</xdr:row>
      <xdr:rowOff>0</xdr:rowOff>
    </xdr:to>
    <xdr:sp macro="" textlink="">
      <xdr:nvSpPr>
        <xdr:cNvPr id="990" name="nuNumber: 1019" hidden="1">
          <a:extLst>
            <a:ext uri="{FF2B5EF4-FFF2-40B4-BE49-F238E27FC236}">
              <a16:creationId xmlns:a16="http://schemas.microsoft.com/office/drawing/2014/main" id="{C0A65ACC-D33D-44D2-B83B-A43AC29E529B}"/>
            </a:ext>
          </a:extLst>
        </xdr:cNvPr>
        <xdr:cNvSpPr/>
      </xdr:nvSpPr>
      <xdr:spPr bwMode="auto">
        <a:xfrm>
          <a:off x="12106275" y="56716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264</xdr:row>
      <xdr:rowOff>119380</xdr:rowOff>
    </xdr:from>
    <xdr:to>
      <xdr:col>17</xdr:col>
      <xdr:colOff>63500</xdr:colOff>
      <xdr:row>265</xdr:row>
      <xdr:rowOff>0</xdr:rowOff>
    </xdr:to>
    <xdr:sp macro="" textlink="">
      <xdr:nvSpPr>
        <xdr:cNvPr id="991" name="nuNumber: 1020" hidden="1">
          <a:extLst>
            <a:ext uri="{FF2B5EF4-FFF2-40B4-BE49-F238E27FC236}">
              <a16:creationId xmlns:a16="http://schemas.microsoft.com/office/drawing/2014/main" id="{2391C328-89E9-4947-8FB4-FA02F75A57B0}"/>
            </a:ext>
          </a:extLst>
        </xdr:cNvPr>
        <xdr:cNvSpPr/>
      </xdr:nvSpPr>
      <xdr:spPr bwMode="auto">
        <a:xfrm>
          <a:off x="12887325" y="56716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264</xdr:row>
      <xdr:rowOff>119380</xdr:rowOff>
    </xdr:from>
    <xdr:to>
      <xdr:col>18</xdr:col>
      <xdr:colOff>63499</xdr:colOff>
      <xdr:row>265</xdr:row>
      <xdr:rowOff>0</xdr:rowOff>
    </xdr:to>
    <xdr:sp macro="" textlink="">
      <xdr:nvSpPr>
        <xdr:cNvPr id="992" name="nuNumber: 1021" hidden="1">
          <a:extLst>
            <a:ext uri="{FF2B5EF4-FFF2-40B4-BE49-F238E27FC236}">
              <a16:creationId xmlns:a16="http://schemas.microsoft.com/office/drawing/2014/main" id="{C26D5295-5666-4751-889C-49AE1CC0FA8C}"/>
            </a:ext>
          </a:extLst>
        </xdr:cNvPr>
        <xdr:cNvSpPr/>
      </xdr:nvSpPr>
      <xdr:spPr bwMode="auto">
        <a:xfrm>
          <a:off x="13624559" y="5671693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264</xdr:row>
      <xdr:rowOff>119380</xdr:rowOff>
    </xdr:from>
    <xdr:to>
      <xdr:col>19</xdr:col>
      <xdr:colOff>63500</xdr:colOff>
      <xdr:row>265</xdr:row>
      <xdr:rowOff>0</xdr:rowOff>
    </xdr:to>
    <xdr:sp macro="" textlink="">
      <xdr:nvSpPr>
        <xdr:cNvPr id="993" name="nuNumber: 1022" hidden="1">
          <a:extLst>
            <a:ext uri="{FF2B5EF4-FFF2-40B4-BE49-F238E27FC236}">
              <a16:creationId xmlns:a16="http://schemas.microsoft.com/office/drawing/2014/main" id="{6D3D0820-BA65-42F1-96BF-3AA569F2D698}"/>
            </a:ext>
          </a:extLst>
        </xdr:cNvPr>
        <xdr:cNvSpPr/>
      </xdr:nvSpPr>
      <xdr:spPr bwMode="auto">
        <a:xfrm>
          <a:off x="14382750" y="56716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264</xdr:row>
      <xdr:rowOff>119380</xdr:rowOff>
    </xdr:from>
    <xdr:to>
      <xdr:col>20</xdr:col>
      <xdr:colOff>63500</xdr:colOff>
      <xdr:row>265</xdr:row>
      <xdr:rowOff>0</xdr:rowOff>
    </xdr:to>
    <xdr:sp macro="" textlink="">
      <xdr:nvSpPr>
        <xdr:cNvPr id="994" name="nuNumber: 1023" hidden="1">
          <a:extLst>
            <a:ext uri="{FF2B5EF4-FFF2-40B4-BE49-F238E27FC236}">
              <a16:creationId xmlns:a16="http://schemas.microsoft.com/office/drawing/2014/main" id="{DBB3CF29-E86A-46D5-8E58-CD182EB0C6A2}"/>
            </a:ext>
          </a:extLst>
        </xdr:cNvPr>
        <xdr:cNvSpPr/>
      </xdr:nvSpPr>
      <xdr:spPr bwMode="auto">
        <a:xfrm>
          <a:off x="15135225" y="56716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264</xdr:row>
      <xdr:rowOff>119380</xdr:rowOff>
    </xdr:from>
    <xdr:to>
      <xdr:col>21</xdr:col>
      <xdr:colOff>63500</xdr:colOff>
      <xdr:row>265</xdr:row>
      <xdr:rowOff>0</xdr:rowOff>
    </xdr:to>
    <xdr:sp macro="" textlink="">
      <xdr:nvSpPr>
        <xdr:cNvPr id="995" name="nuNumber: 1024" hidden="1">
          <a:extLst>
            <a:ext uri="{FF2B5EF4-FFF2-40B4-BE49-F238E27FC236}">
              <a16:creationId xmlns:a16="http://schemas.microsoft.com/office/drawing/2014/main" id="{608A342A-0C9B-4752-9CFF-4E7162BFBA4B}"/>
            </a:ext>
          </a:extLst>
        </xdr:cNvPr>
        <xdr:cNvSpPr/>
      </xdr:nvSpPr>
      <xdr:spPr bwMode="auto">
        <a:xfrm>
          <a:off x="15849600" y="56716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264</xdr:row>
      <xdr:rowOff>119380</xdr:rowOff>
    </xdr:from>
    <xdr:to>
      <xdr:col>31</xdr:col>
      <xdr:colOff>63500</xdr:colOff>
      <xdr:row>265</xdr:row>
      <xdr:rowOff>0</xdr:rowOff>
    </xdr:to>
    <xdr:sp macro="" textlink="">
      <xdr:nvSpPr>
        <xdr:cNvPr id="996" name="nuNumber: 1025" hidden="1">
          <a:extLst>
            <a:ext uri="{FF2B5EF4-FFF2-40B4-BE49-F238E27FC236}">
              <a16:creationId xmlns:a16="http://schemas.microsoft.com/office/drawing/2014/main" id="{8367667D-E6A1-497D-893B-3D7F85E2BCCE}"/>
            </a:ext>
          </a:extLst>
        </xdr:cNvPr>
        <xdr:cNvSpPr/>
      </xdr:nvSpPr>
      <xdr:spPr bwMode="auto">
        <a:xfrm>
          <a:off x="23383875" y="56716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265</xdr:row>
      <xdr:rowOff>119379</xdr:rowOff>
    </xdr:from>
    <xdr:to>
      <xdr:col>6</xdr:col>
      <xdr:colOff>63500</xdr:colOff>
      <xdr:row>265</xdr:row>
      <xdr:rowOff>182879</xdr:rowOff>
    </xdr:to>
    <xdr:sp macro="" textlink="">
      <xdr:nvSpPr>
        <xdr:cNvPr id="997" name="nuNumber: 1026" hidden="1">
          <a:extLst>
            <a:ext uri="{FF2B5EF4-FFF2-40B4-BE49-F238E27FC236}">
              <a16:creationId xmlns:a16="http://schemas.microsoft.com/office/drawing/2014/main" id="{29AD90B4-7418-4E00-AF1D-4574CB68C4F1}"/>
            </a:ext>
          </a:extLst>
        </xdr:cNvPr>
        <xdr:cNvSpPr/>
      </xdr:nvSpPr>
      <xdr:spPr bwMode="auto">
        <a:xfrm>
          <a:off x="3800475" y="569264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265</xdr:row>
      <xdr:rowOff>119379</xdr:rowOff>
    </xdr:from>
    <xdr:to>
      <xdr:col>7</xdr:col>
      <xdr:colOff>63500</xdr:colOff>
      <xdr:row>265</xdr:row>
      <xdr:rowOff>182879</xdr:rowOff>
    </xdr:to>
    <xdr:sp macro="" textlink="">
      <xdr:nvSpPr>
        <xdr:cNvPr id="998" name="nuNumber: 1027" hidden="1">
          <a:extLst>
            <a:ext uri="{FF2B5EF4-FFF2-40B4-BE49-F238E27FC236}">
              <a16:creationId xmlns:a16="http://schemas.microsoft.com/office/drawing/2014/main" id="{C58AB41C-E13D-444A-A55D-2288F7186F50}"/>
            </a:ext>
          </a:extLst>
        </xdr:cNvPr>
        <xdr:cNvSpPr/>
      </xdr:nvSpPr>
      <xdr:spPr bwMode="auto">
        <a:xfrm>
          <a:off x="4676775" y="569264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265</xdr:row>
      <xdr:rowOff>119379</xdr:rowOff>
    </xdr:from>
    <xdr:to>
      <xdr:col>8</xdr:col>
      <xdr:colOff>63500</xdr:colOff>
      <xdr:row>265</xdr:row>
      <xdr:rowOff>182879</xdr:rowOff>
    </xdr:to>
    <xdr:sp macro="" textlink="">
      <xdr:nvSpPr>
        <xdr:cNvPr id="999" name="nuNumber: 1028" hidden="1">
          <a:extLst>
            <a:ext uri="{FF2B5EF4-FFF2-40B4-BE49-F238E27FC236}">
              <a16:creationId xmlns:a16="http://schemas.microsoft.com/office/drawing/2014/main" id="{8BD7F016-789A-470B-A2F4-80ACCA62F7C2}"/>
            </a:ext>
          </a:extLst>
        </xdr:cNvPr>
        <xdr:cNvSpPr/>
      </xdr:nvSpPr>
      <xdr:spPr bwMode="auto">
        <a:xfrm>
          <a:off x="5562600" y="569264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265</xdr:row>
      <xdr:rowOff>119379</xdr:rowOff>
    </xdr:from>
    <xdr:to>
      <xdr:col>9</xdr:col>
      <xdr:colOff>63500</xdr:colOff>
      <xdr:row>265</xdr:row>
      <xdr:rowOff>182879</xdr:rowOff>
    </xdr:to>
    <xdr:sp macro="" textlink="">
      <xdr:nvSpPr>
        <xdr:cNvPr id="1000" name="nuNumber: 1029" hidden="1">
          <a:extLst>
            <a:ext uri="{FF2B5EF4-FFF2-40B4-BE49-F238E27FC236}">
              <a16:creationId xmlns:a16="http://schemas.microsoft.com/office/drawing/2014/main" id="{09E81162-0E72-40F7-91BE-A3C8BD3D56F9}"/>
            </a:ext>
          </a:extLst>
        </xdr:cNvPr>
        <xdr:cNvSpPr/>
      </xdr:nvSpPr>
      <xdr:spPr bwMode="auto">
        <a:xfrm>
          <a:off x="6467475" y="569264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265</xdr:row>
      <xdr:rowOff>119379</xdr:rowOff>
    </xdr:from>
    <xdr:to>
      <xdr:col>9</xdr:col>
      <xdr:colOff>63500</xdr:colOff>
      <xdr:row>265</xdr:row>
      <xdr:rowOff>182879</xdr:rowOff>
    </xdr:to>
    <xdr:sp macro="" textlink="">
      <xdr:nvSpPr>
        <xdr:cNvPr id="1001" name="nuNumber: 1030" hidden="1">
          <a:extLst>
            <a:ext uri="{FF2B5EF4-FFF2-40B4-BE49-F238E27FC236}">
              <a16:creationId xmlns:a16="http://schemas.microsoft.com/office/drawing/2014/main" id="{2737C112-EFC8-4363-A55A-67FA1869FBC3}"/>
            </a:ext>
          </a:extLst>
        </xdr:cNvPr>
        <xdr:cNvSpPr/>
      </xdr:nvSpPr>
      <xdr:spPr bwMode="auto">
        <a:xfrm>
          <a:off x="6467475" y="569264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265</xdr:row>
      <xdr:rowOff>119379</xdr:rowOff>
    </xdr:from>
    <xdr:to>
      <xdr:col>10</xdr:col>
      <xdr:colOff>63500</xdr:colOff>
      <xdr:row>265</xdr:row>
      <xdr:rowOff>182879</xdr:rowOff>
    </xdr:to>
    <xdr:sp macro="" textlink="">
      <xdr:nvSpPr>
        <xdr:cNvPr id="1002" name="nuNumber: 1031" hidden="1">
          <a:extLst>
            <a:ext uri="{FF2B5EF4-FFF2-40B4-BE49-F238E27FC236}">
              <a16:creationId xmlns:a16="http://schemas.microsoft.com/office/drawing/2014/main" id="{A451FC1E-59ED-4AD2-A77A-55EA0E9482DB}"/>
            </a:ext>
          </a:extLst>
        </xdr:cNvPr>
        <xdr:cNvSpPr/>
      </xdr:nvSpPr>
      <xdr:spPr bwMode="auto">
        <a:xfrm>
          <a:off x="7315200" y="569264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265</xdr:row>
      <xdr:rowOff>119379</xdr:rowOff>
    </xdr:from>
    <xdr:to>
      <xdr:col>11</xdr:col>
      <xdr:colOff>63500</xdr:colOff>
      <xdr:row>265</xdr:row>
      <xdr:rowOff>182879</xdr:rowOff>
    </xdr:to>
    <xdr:sp macro="" textlink="">
      <xdr:nvSpPr>
        <xdr:cNvPr id="1003" name="nuNumber: 1032" hidden="1">
          <a:extLst>
            <a:ext uri="{FF2B5EF4-FFF2-40B4-BE49-F238E27FC236}">
              <a16:creationId xmlns:a16="http://schemas.microsoft.com/office/drawing/2014/main" id="{9D96C2BD-BB4D-4AE1-B7E9-816FC519EE07}"/>
            </a:ext>
          </a:extLst>
        </xdr:cNvPr>
        <xdr:cNvSpPr/>
      </xdr:nvSpPr>
      <xdr:spPr bwMode="auto">
        <a:xfrm>
          <a:off x="8105775" y="569264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265</xdr:row>
      <xdr:rowOff>119379</xdr:rowOff>
    </xdr:from>
    <xdr:to>
      <xdr:col>12</xdr:col>
      <xdr:colOff>63500</xdr:colOff>
      <xdr:row>265</xdr:row>
      <xdr:rowOff>182879</xdr:rowOff>
    </xdr:to>
    <xdr:sp macro="" textlink="">
      <xdr:nvSpPr>
        <xdr:cNvPr id="1004" name="nuNumber: 1033" hidden="1">
          <a:extLst>
            <a:ext uri="{FF2B5EF4-FFF2-40B4-BE49-F238E27FC236}">
              <a16:creationId xmlns:a16="http://schemas.microsoft.com/office/drawing/2014/main" id="{B9BD727F-4035-42C9-9FB1-8DE25D0ADC83}"/>
            </a:ext>
          </a:extLst>
        </xdr:cNvPr>
        <xdr:cNvSpPr/>
      </xdr:nvSpPr>
      <xdr:spPr bwMode="auto">
        <a:xfrm>
          <a:off x="8972550" y="569264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265</xdr:row>
      <xdr:rowOff>119379</xdr:rowOff>
    </xdr:from>
    <xdr:to>
      <xdr:col>13</xdr:col>
      <xdr:colOff>63500</xdr:colOff>
      <xdr:row>265</xdr:row>
      <xdr:rowOff>182879</xdr:rowOff>
    </xdr:to>
    <xdr:sp macro="" textlink="">
      <xdr:nvSpPr>
        <xdr:cNvPr id="1005" name="nuNumber: 1034" hidden="1">
          <a:extLst>
            <a:ext uri="{FF2B5EF4-FFF2-40B4-BE49-F238E27FC236}">
              <a16:creationId xmlns:a16="http://schemas.microsoft.com/office/drawing/2014/main" id="{B9E85B25-B7F0-478B-95BC-2684CD4DDD45}"/>
            </a:ext>
          </a:extLst>
        </xdr:cNvPr>
        <xdr:cNvSpPr/>
      </xdr:nvSpPr>
      <xdr:spPr bwMode="auto">
        <a:xfrm>
          <a:off x="9753600" y="569264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265</xdr:row>
      <xdr:rowOff>119379</xdr:rowOff>
    </xdr:from>
    <xdr:to>
      <xdr:col>14</xdr:col>
      <xdr:colOff>63500</xdr:colOff>
      <xdr:row>265</xdr:row>
      <xdr:rowOff>182879</xdr:rowOff>
    </xdr:to>
    <xdr:sp macro="" textlink="">
      <xdr:nvSpPr>
        <xdr:cNvPr id="1006" name="nuNumber: 1035" hidden="1">
          <a:extLst>
            <a:ext uri="{FF2B5EF4-FFF2-40B4-BE49-F238E27FC236}">
              <a16:creationId xmlns:a16="http://schemas.microsoft.com/office/drawing/2014/main" id="{170B0283-8555-4D94-9C3C-FDAA5847C15F}"/>
            </a:ext>
          </a:extLst>
        </xdr:cNvPr>
        <xdr:cNvSpPr/>
      </xdr:nvSpPr>
      <xdr:spPr bwMode="auto">
        <a:xfrm>
          <a:off x="10515600" y="569264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265</xdr:row>
      <xdr:rowOff>119379</xdr:rowOff>
    </xdr:from>
    <xdr:to>
      <xdr:col>15</xdr:col>
      <xdr:colOff>63500</xdr:colOff>
      <xdr:row>265</xdr:row>
      <xdr:rowOff>182879</xdr:rowOff>
    </xdr:to>
    <xdr:sp macro="" textlink="">
      <xdr:nvSpPr>
        <xdr:cNvPr id="1007" name="nuNumber: 1036" hidden="1">
          <a:extLst>
            <a:ext uri="{FF2B5EF4-FFF2-40B4-BE49-F238E27FC236}">
              <a16:creationId xmlns:a16="http://schemas.microsoft.com/office/drawing/2014/main" id="{1215204F-D040-4D76-A904-BAAF8C1631F4}"/>
            </a:ext>
          </a:extLst>
        </xdr:cNvPr>
        <xdr:cNvSpPr/>
      </xdr:nvSpPr>
      <xdr:spPr bwMode="auto">
        <a:xfrm>
          <a:off x="11325225" y="569264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265</xdr:row>
      <xdr:rowOff>119379</xdr:rowOff>
    </xdr:from>
    <xdr:to>
      <xdr:col>16</xdr:col>
      <xdr:colOff>63500</xdr:colOff>
      <xdr:row>265</xdr:row>
      <xdr:rowOff>182879</xdr:rowOff>
    </xdr:to>
    <xdr:sp macro="" textlink="">
      <xdr:nvSpPr>
        <xdr:cNvPr id="1008" name="nuNumber: 1037" hidden="1">
          <a:extLst>
            <a:ext uri="{FF2B5EF4-FFF2-40B4-BE49-F238E27FC236}">
              <a16:creationId xmlns:a16="http://schemas.microsoft.com/office/drawing/2014/main" id="{DD49EBE4-A296-4D7F-873D-6E1EBBE36CCC}"/>
            </a:ext>
          </a:extLst>
        </xdr:cNvPr>
        <xdr:cNvSpPr/>
      </xdr:nvSpPr>
      <xdr:spPr bwMode="auto">
        <a:xfrm>
          <a:off x="12106275" y="569264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265</xdr:row>
      <xdr:rowOff>119379</xdr:rowOff>
    </xdr:from>
    <xdr:to>
      <xdr:col>17</xdr:col>
      <xdr:colOff>63500</xdr:colOff>
      <xdr:row>265</xdr:row>
      <xdr:rowOff>182879</xdr:rowOff>
    </xdr:to>
    <xdr:sp macro="" textlink="">
      <xdr:nvSpPr>
        <xdr:cNvPr id="1009" name="nuNumber: 1038" hidden="1">
          <a:extLst>
            <a:ext uri="{FF2B5EF4-FFF2-40B4-BE49-F238E27FC236}">
              <a16:creationId xmlns:a16="http://schemas.microsoft.com/office/drawing/2014/main" id="{41092F58-5092-405D-8ED2-AC4EA545E4FD}"/>
            </a:ext>
          </a:extLst>
        </xdr:cNvPr>
        <xdr:cNvSpPr/>
      </xdr:nvSpPr>
      <xdr:spPr bwMode="auto">
        <a:xfrm>
          <a:off x="12887325" y="569264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265</xdr:row>
      <xdr:rowOff>119379</xdr:rowOff>
    </xdr:from>
    <xdr:to>
      <xdr:col>18</xdr:col>
      <xdr:colOff>63499</xdr:colOff>
      <xdr:row>265</xdr:row>
      <xdr:rowOff>182879</xdr:rowOff>
    </xdr:to>
    <xdr:sp macro="" textlink="">
      <xdr:nvSpPr>
        <xdr:cNvPr id="1010" name="nuNumber: 1039" hidden="1">
          <a:extLst>
            <a:ext uri="{FF2B5EF4-FFF2-40B4-BE49-F238E27FC236}">
              <a16:creationId xmlns:a16="http://schemas.microsoft.com/office/drawing/2014/main" id="{13FA8ED9-38CE-4D34-905F-18189D3EDC94}"/>
            </a:ext>
          </a:extLst>
        </xdr:cNvPr>
        <xdr:cNvSpPr/>
      </xdr:nvSpPr>
      <xdr:spPr bwMode="auto">
        <a:xfrm>
          <a:off x="13624559" y="56926479"/>
          <a:ext cx="5969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265</xdr:row>
      <xdr:rowOff>119379</xdr:rowOff>
    </xdr:from>
    <xdr:to>
      <xdr:col>19</xdr:col>
      <xdr:colOff>63500</xdr:colOff>
      <xdr:row>265</xdr:row>
      <xdr:rowOff>182879</xdr:rowOff>
    </xdr:to>
    <xdr:sp macro="" textlink="">
      <xdr:nvSpPr>
        <xdr:cNvPr id="1011" name="nuNumber: 1040" hidden="1">
          <a:extLst>
            <a:ext uri="{FF2B5EF4-FFF2-40B4-BE49-F238E27FC236}">
              <a16:creationId xmlns:a16="http://schemas.microsoft.com/office/drawing/2014/main" id="{682530DD-C348-4ED7-AB1D-1C124EB077CE}"/>
            </a:ext>
          </a:extLst>
        </xdr:cNvPr>
        <xdr:cNvSpPr/>
      </xdr:nvSpPr>
      <xdr:spPr bwMode="auto">
        <a:xfrm>
          <a:off x="14382750" y="569264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265</xdr:row>
      <xdr:rowOff>119379</xdr:rowOff>
    </xdr:from>
    <xdr:to>
      <xdr:col>20</xdr:col>
      <xdr:colOff>63500</xdr:colOff>
      <xdr:row>265</xdr:row>
      <xdr:rowOff>182879</xdr:rowOff>
    </xdr:to>
    <xdr:sp macro="" textlink="">
      <xdr:nvSpPr>
        <xdr:cNvPr id="1012" name="nuNumber: 1041" hidden="1">
          <a:extLst>
            <a:ext uri="{FF2B5EF4-FFF2-40B4-BE49-F238E27FC236}">
              <a16:creationId xmlns:a16="http://schemas.microsoft.com/office/drawing/2014/main" id="{4B66F303-41AA-411A-8A9A-1CBB2F401D48}"/>
            </a:ext>
          </a:extLst>
        </xdr:cNvPr>
        <xdr:cNvSpPr/>
      </xdr:nvSpPr>
      <xdr:spPr bwMode="auto">
        <a:xfrm>
          <a:off x="15135225" y="569264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265</xdr:row>
      <xdr:rowOff>119379</xdr:rowOff>
    </xdr:from>
    <xdr:to>
      <xdr:col>21</xdr:col>
      <xdr:colOff>63500</xdr:colOff>
      <xdr:row>265</xdr:row>
      <xdr:rowOff>182879</xdr:rowOff>
    </xdr:to>
    <xdr:sp macro="" textlink="">
      <xdr:nvSpPr>
        <xdr:cNvPr id="1013" name="nuNumber: 1042" hidden="1">
          <a:extLst>
            <a:ext uri="{FF2B5EF4-FFF2-40B4-BE49-F238E27FC236}">
              <a16:creationId xmlns:a16="http://schemas.microsoft.com/office/drawing/2014/main" id="{0AED5720-A256-4487-AFBD-5F89593BAC53}"/>
            </a:ext>
          </a:extLst>
        </xdr:cNvPr>
        <xdr:cNvSpPr/>
      </xdr:nvSpPr>
      <xdr:spPr bwMode="auto">
        <a:xfrm>
          <a:off x="15849600" y="569264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265</xdr:row>
      <xdr:rowOff>119379</xdr:rowOff>
    </xdr:from>
    <xdr:to>
      <xdr:col>30</xdr:col>
      <xdr:colOff>63499</xdr:colOff>
      <xdr:row>265</xdr:row>
      <xdr:rowOff>182879</xdr:rowOff>
    </xdr:to>
    <xdr:sp macro="" textlink="">
      <xdr:nvSpPr>
        <xdr:cNvPr id="1014" name="nuNumber: 1043" hidden="1">
          <a:extLst>
            <a:ext uri="{FF2B5EF4-FFF2-40B4-BE49-F238E27FC236}">
              <a16:creationId xmlns:a16="http://schemas.microsoft.com/office/drawing/2014/main" id="{47A1A447-03A7-4F97-95F6-4443ADBFC414}"/>
            </a:ext>
          </a:extLst>
        </xdr:cNvPr>
        <xdr:cNvSpPr/>
      </xdr:nvSpPr>
      <xdr:spPr bwMode="auto">
        <a:xfrm>
          <a:off x="22242779" y="56926479"/>
          <a:ext cx="61595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266</xdr:row>
      <xdr:rowOff>119381</xdr:rowOff>
    </xdr:from>
    <xdr:to>
      <xdr:col>30</xdr:col>
      <xdr:colOff>63499</xdr:colOff>
      <xdr:row>267</xdr:row>
      <xdr:rowOff>1</xdr:rowOff>
    </xdr:to>
    <xdr:sp macro="" textlink="">
      <xdr:nvSpPr>
        <xdr:cNvPr id="1015" name="nuNumber: 1044" hidden="1">
          <a:extLst>
            <a:ext uri="{FF2B5EF4-FFF2-40B4-BE49-F238E27FC236}">
              <a16:creationId xmlns:a16="http://schemas.microsoft.com/office/drawing/2014/main" id="{5C52CFFC-531A-4C54-9E46-081AC0CB0060}"/>
            </a:ext>
          </a:extLst>
        </xdr:cNvPr>
        <xdr:cNvSpPr/>
      </xdr:nvSpPr>
      <xdr:spPr bwMode="auto">
        <a:xfrm>
          <a:off x="22242779" y="57136031"/>
          <a:ext cx="61595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266</xdr:row>
      <xdr:rowOff>119381</xdr:rowOff>
    </xdr:from>
    <xdr:to>
      <xdr:col>31</xdr:col>
      <xdr:colOff>63500</xdr:colOff>
      <xdr:row>267</xdr:row>
      <xdr:rowOff>1</xdr:rowOff>
    </xdr:to>
    <xdr:sp macro="" textlink="">
      <xdr:nvSpPr>
        <xdr:cNvPr id="1016" name="nuNumber: 1045" hidden="1">
          <a:extLst>
            <a:ext uri="{FF2B5EF4-FFF2-40B4-BE49-F238E27FC236}">
              <a16:creationId xmlns:a16="http://schemas.microsoft.com/office/drawing/2014/main" id="{52E6E77C-C904-43EC-8310-5B3DE3071A74}"/>
            </a:ext>
          </a:extLst>
        </xdr:cNvPr>
        <xdr:cNvSpPr/>
      </xdr:nvSpPr>
      <xdr:spPr bwMode="auto">
        <a:xfrm>
          <a:off x="23383875" y="5713603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267</xdr:row>
      <xdr:rowOff>294640</xdr:rowOff>
    </xdr:from>
    <xdr:to>
      <xdr:col>30</xdr:col>
      <xdr:colOff>63499</xdr:colOff>
      <xdr:row>268</xdr:row>
      <xdr:rowOff>0</xdr:rowOff>
    </xdr:to>
    <xdr:sp macro="" textlink="">
      <xdr:nvSpPr>
        <xdr:cNvPr id="1017" name="nuNumber: 1046" hidden="1">
          <a:extLst>
            <a:ext uri="{FF2B5EF4-FFF2-40B4-BE49-F238E27FC236}">
              <a16:creationId xmlns:a16="http://schemas.microsoft.com/office/drawing/2014/main" id="{CD4BD72A-5E1C-43EE-8607-59FE1CCE6763}"/>
            </a:ext>
          </a:extLst>
        </xdr:cNvPr>
        <xdr:cNvSpPr/>
      </xdr:nvSpPr>
      <xdr:spPr bwMode="auto">
        <a:xfrm>
          <a:off x="22242779" y="57520840"/>
          <a:ext cx="61595" cy="12446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267</xdr:row>
      <xdr:rowOff>294640</xdr:rowOff>
    </xdr:from>
    <xdr:to>
      <xdr:col>31</xdr:col>
      <xdr:colOff>63500</xdr:colOff>
      <xdr:row>268</xdr:row>
      <xdr:rowOff>0</xdr:rowOff>
    </xdr:to>
    <xdr:sp macro="" textlink="">
      <xdr:nvSpPr>
        <xdr:cNvPr id="1018" name="nuNumber: 1047" hidden="1">
          <a:extLst>
            <a:ext uri="{FF2B5EF4-FFF2-40B4-BE49-F238E27FC236}">
              <a16:creationId xmlns:a16="http://schemas.microsoft.com/office/drawing/2014/main" id="{15C0F482-C435-4CB2-8146-40A24C09CA4D}"/>
            </a:ext>
          </a:extLst>
        </xdr:cNvPr>
        <xdr:cNvSpPr/>
      </xdr:nvSpPr>
      <xdr:spPr bwMode="auto">
        <a:xfrm>
          <a:off x="23383875" y="57520840"/>
          <a:ext cx="63500" cy="12446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286</xdr:row>
      <xdr:rowOff>119379</xdr:rowOff>
    </xdr:from>
    <xdr:to>
      <xdr:col>8</xdr:col>
      <xdr:colOff>63500</xdr:colOff>
      <xdr:row>286</xdr:row>
      <xdr:rowOff>182879</xdr:rowOff>
    </xdr:to>
    <xdr:sp macro="" textlink="">
      <xdr:nvSpPr>
        <xdr:cNvPr id="1019" name="nuNumber: 1048" hidden="1">
          <a:extLst>
            <a:ext uri="{FF2B5EF4-FFF2-40B4-BE49-F238E27FC236}">
              <a16:creationId xmlns:a16="http://schemas.microsoft.com/office/drawing/2014/main" id="{03372EA6-93AF-42F3-A550-6E154C282696}"/>
            </a:ext>
          </a:extLst>
        </xdr:cNvPr>
        <xdr:cNvSpPr/>
      </xdr:nvSpPr>
      <xdr:spPr bwMode="auto">
        <a:xfrm>
          <a:off x="5562600" y="61765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286</xdr:row>
      <xdr:rowOff>119379</xdr:rowOff>
    </xdr:from>
    <xdr:to>
      <xdr:col>9</xdr:col>
      <xdr:colOff>63500</xdr:colOff>
      <xdr:row>286</xdr:row>
      <xdr:rowOff>182879</xdr:rowOff>
    </xdr:to>
    <xdr:sp macro="" textlink="">
      <xdr:nvSpPr>
        <xdr:cNvPr id="1020" name="nuNumber: 1049" hidden="1">
          <a:extLst>
            <a:ext uri="{FF2B5EF4-FFF2-40B4-BE49-F238E27FC236}">
              <a16:creationId xmlns:a16="http://schemas.microsoft.com/office/drawing/2014/main" id="{3F5B0817-66E2-412E-A6B5-1BF24D3E0AFC}"/>
            </a:ext>
          </a:extLst>
        </xdr:cNvPr>
        <xdr:cNvSpPr/>
      </xdr:nvSpPr>
      <xdr:spPr bwMode="auto">
        <a:xfrm>
          <a:off x="6467475" y="61765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286</xdr:row>
      <xdr:rowOff>119379</xdr:rowOff>
    </xdr:from>
    <xdr:to>
      <xdr:col>9</xdr:col>
      <xdr:colOff>63500</xdr:colOff>
      <xdr:row>286</xdr:row>
      <xdr:rowOff>182879</xdr:rowOff>
    </xdr:to>
    <xdr:sp macro="" textlink="">
      <xdr:nvSpPr>
        <xdr:cNvPr id="1021" name="nuNumber: 1050" hidden="1">
          <a:extLst>
            <a:ext uri="{FF2B5EF4-FFF2-40B4-BE49-F238E27FC236}">
              <a16:creationId xmlns:a16="http://schemas.microsoft.com/office/drawing/2014/main" id="{181EFCAC-BA48-46BA-B725-A57E15D44C47}"/>
            </a:ext>
          </a:extLst>
        </xdr:cNvPr>
        <xdr:cNvSpPr/>
      </xdr:nvSpPr>
      <xdr:spPr bwMode="auto">
        <a:xfrm>
          <a:off x="6467475" y="61765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286</xdr:row>
      <xdr:rowOff>119379</xdr:rowOff>
    </xdr:from>
    <xdr:to>
      <xdr:col>10</xdr:col>
      <xdr:colOff>63500</xdr:colOff>
      <xdr:row>286</xdr:row>
      <xdr:rowOff>182879</xdr:rowOff>
    </xdr:to>
    <xdr:sp macro="" textlink="">
      <xdr:nvSpPr>
        <xdr:cNvPr id="1022" name="nuNumber: 1051" hidden="1">
          <a:extLst>
            <a:ext uri="{FF2B5EF4-FFF2-40B4-BE49-F238E27FC236}">
              <a16:creationId xmlns:a16="http://schemas.microsoft.com/office/drawing/2014/main" id="{26A3083A-9620-42B2-8DB6-7F285482A3C3}"/>
            </a:ext>
          </a:extLst>
        </xdr:cNvPr>
        <xdr:cNvSpPr/>
      </xdr:nvSpPr>
      <xdr:spPr bwMode="auto">
        <a:xfrm>
          <a:off x="7315200" y="61765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286</xdr:row>
      <xdr:rowOff>119379</xdr:rowOff>
    </xdr:from>
    <xdr:to>
      <xdr:col>11</xdr:col>
      <xdr:colOff>63500</xdr:colOff>
      <xdr:row>286</xdr:row>
      <xdr:rowOff>182879</xdr:rowOff>
    </xdr:to>
    <xdr:sp macro="" textlink="">
      <xdr:nvSpPr>
        <xdr:cNvPr id="1023" name="nuNumber: 1052" hidden="1">
          <a:extLst>
            <a:ext uri="{FF2B5EF4-FFF2-40B4-BE49-F238E27FC236}">
              <a16:creationId xmlns:a16="http://schemas.microsoft.com/office/drawing/2014/main" id="{D16082D3-F62D-41A0-BC14-81418E88316E}"/>
            </a:ext>
          </a:extLst>
        </xdr:cNvPr>
        <xdr:cNvSpPr/>
      </xdr:nvSpPr>
      <xdr:spPr bwMode="auto">
        <a:xfrm>
          <a:off x="8105775" y="61765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286</xdr:row>
      <xdr:rowOff>119379</xdr:rowOff>
    </xdr:from>
    <xdr:to>
      <xdr:col>12</xdr:col>
      <xdr:colOff>63500</xdr:colOff>
      <xdr:row>286</xdr:row>
      <xdr:rowOff>182879</xdr:rowOff>
    </xdr:to>
    <xdr:sp macro="" textlink="">
      <xdr:nvSpPr>
        <xdr:cNvPr id="1024" name="nuNumber: 1053" hidden="1">
          <a:extLst>
            <a:ext uri="{FF2B5EF4-FFF2-40B4-BE49-F238E27FC236}">
              <a16:creationId xmlns:a16="http://schemas.microsoft.com/office/drawing/2014/main" id="{EEA8948A-6A5B-4B0B-9579-025E4E0D7B21}"/>
            </a:ext>
          </a:extLst>
        </xdr:cNvPr>
        <xdr:cNvSpPr/>
      </xdr:nvSpPr>
      <xdr:spPr bwMode="auto">
        <a:xfrm>
          <a:off x="8972550" y="61765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286</xdr:row>
      <xdr:rowOff>119379</xdr:rowOff>
    </xdr:from>
    <xdr:to>
      <xdr:col>13</xdr:col>
      <xdr:colOff>63500</xdr:colOff>
      <xdr:row>286</xdr:row>
      <xdr:rowOff>182879</xdr:rowOff>
    </xdr:to>
    <xdr:sp macro="" textlink="">
      <xdr:nvSpPr>
        <xdr:cNvPr id="1025" name="nuNumber: 1054" hidden="1">
          <a:extLst>
            <a:ext uri="{FF2B5EF4-FFF2-40B4-BE49-F238E27FC236}">
              <a16:creationId xmlns:a16="http://schemas.microsoft.com/office/drawing/2014/main" id="{DED2B5E3-BDF0-46C8-AAE6-20C99C70ACA7}"/>
            </a:ext>
          </a:extLst>
        </xdr:cNvPr>
        <xdr:cNvSpPr/>
      </xdr:nvSpPr>
      <xdr:spPr bwMode="auto">
        <a:xfrm>
          <a:off x="9753600" y="61765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286</xdr:row>
      <xdr:rowOff>119379</xdr:rowOff>
    </xdr:from>
    <xdr:to>
      <xdr:col>14</xdr:col>
      <xdr:colOff>63500</xdr:colOff>
      <xdr:row>286</xdr:row>
      <xdr:rowOff>182879</xdr:rowOff>
    </xdr:to>
    <xdr:sp macro="" textlink="">
      <xdr:nvSpPr>
        <xdr:cNvPr id="1026" name="nuNumber: 1055" hidden="1">
          <a:extLst>
            <a:ext uri="{FF2B5EF4-FFF2-40B4-BE49-F238E27FC236}">
              <a16:creationId xmlns:a16="http://schemas.microsoft.com/office/drawing/2014/main" id="{C7893FAC-5985-42D3-BF45-CCB81D75B689}"/>
            </a:ext>
          </a:extLst>
        </xdr:cNvPr>
        <xdr:cNvSpPr/>
      </xdr:nvSpPr>
      <xdr:spPr bwMode="auto">
        <a:xfrm>
          <a:off x="10515600" y="61765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286</xdr:row>
      <xdr:rowOff>119379</xdr:rowOff>
    </xdr:from>
    <xdr:to>
      <xdr:col>15</xdr:col>
      <xdr:colOff>63500</xdr:colOff>
      <xdr:row>286</xdr:row>
      <xdr:rowOff>182879</xdr:rowOff>
    </xdr:to>
    <xdr:sp macro="" textlink="">
      <xdr:nvSpPr>
        <xdr:cNvPr id="1027" name="nuNumber: 1056" hidden="1">
          <a:extLst>
            <a:ext uri="{FF2B5EF4-FFF2-40B4-BE49-F238E27FC236}">
              <a16:creationId xmlns:a16="http://schemas.microsoft.com/office/drawing/2014/main" id="{16AA04C4-38FE-43CC-A2F4-AE7770685FE1}"/>
            </a:ext>
          </a:extLst>
        </xdr:cNvPr>
        <xdr:cNvSpPr/>
      </xdr:nvSpPr>
      <xdr:spPr bwMode="auto">
        <a:xfrm>
          <a:off x="11325225" y="61765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286</xdr:row>
      <xdr:rowOff>119379</xdr:rowOff>
    </xdr:from>
    <xdr:to>
      <xdr:col>16</xdr:col>
      <xdr:colOff>63500</xdr:colOff>
      <xdr:row>286</xdr:row>
      <xdr:rowOff>182879</xdr:rowOff>
    </xdr:to>
    <xdr:sp macro="" textlink="">
      <xdr:nvSpPr>
        <xdr:cNvPr id="1028" name="nuNumber: 1057" hidden="1">
          <a:extLst>
            <a:ext uri="{FF2B5EF4-FFF2-40B4-BE49-F238E27FC236}">
              <a16:creationId xmlns:a16="http://schemas.microsoft.com/office/drawing/2014/main" id="{886CE1F2-8DF2-4322-86D6-E6B42B046185}"/>
            </a:ext>
          </a:extLst>
        </xdr:cNvPr>
        <xdr:cNvSpPr/>
      </xdr:nvSpPr>
      <xdr:spPr bwMode="auto">
        <a:xfrm>
          <a:off x="12106275" y="61765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286</xdr:row>
      <xdr:rowOff>119379</xdr:rowOff>
    </xdr:from>
    <xdr:to>
      <xdr:col>17</xdr:col>
      <xdr:colOff>63500</xdr:colOff>
      <xdr:row>286</xdr:row>
      <xdr:rowOff>182879</xdr:rowOff>
    </xdr:to>
    <xdr:sp macro="" textlink="">
      <xdr:nvSpPr>
        <xdr:cNvPr id="1029" name="nuNumber: 1058" hidden="1">
          <a:extLst>
            <a:ext uri="{FF2B5EF4-FFF2-40B4-BE49-F238E27FC236}">
              <a16:creationId xmlns:a16="http://schemas.microsoft.com/office/drawing/2014/main" id="{5F896682-F9D9-41C3-B745-E39F26DFD845}"/>
            </a:ext>
          </a:extLst>
        </xdr:cNvPr>
        <xdr:cNvSpPr/>
      </xdr:nvSpPr>
      <xdr:spPr bwMode="auto">
        <a:xfrm>
          <a:off x="12887325" y="61765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286</xdr:row>
      <xdr:rowOff>119379</xdr:rowOff>
    </xdr:from>
    <xdr:to>
      <xdr:col>18</xdr:col>
      <xdr:colOff>63499</xdr:colOff>
      <xdr:row>286</xdr:row>
      <xdr:rowOff>182879</xdr:rowOff>
    </xdr:to>
    <xdr:sp macro="" textlink="">
      <xdr:nvSpPr>
        <xdr:cNvPr id="1030" name="nuNumber: 1059" hidden="1">
          <a:extLst>
            <a:ext uri="{FF2B5EF4-FFF2-40B4-BE49-F238E27FC236}">
              <a16:creationId xmlns:a16="http://schemas.microsoft.com/office/drawing/2014/main" id="{5B0C2B89-3A23-4DE7-A229-1CCE6DDA8DE3}"/>
            </a:ext>
          </a:extLst>
        </xdr:cNvPr>
        <xdr:cNvSpPr/>
      </xdr:nvSpPr>
      <xdr:spPr bwMode="auto">
        <a:xfrm>
          <a:off x="13624559" y="61765179"/>
          <a:ext cx="5969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286</xdr:row>
      <xdr:rowOff>119379</xdr:rowOff>
    </xdr:from>
    <xdr:to>
      <xdr:col>19</xdr:col>
      <xdr:colOff>63500</xdr:colOff>
      <xdr:row>286</xdr:row>
      <xdr:rowOff>182879</xdr:rowOff>
    </xdr:to>
    <xdr:sp macro="" textlink="">
      <xdr:nvSpPr>
        <xdr:cNvPr id="1031" name="nuNumber: 1060" hidden="1">
          <a:extLst>
            <a:ext uri="{FF2B5EF4-FFF2-40B4-BE49-F238E27FC236}">
              <a16:creationId xmlns:a16="http://schemas.microsoft.com/office/drawing/2014/main" id="{7218D538-C254-4406-AE84-8EA8AE2650DE}"/>
            </a:ext>
          </a:extLst>
        </xdr:cNvPr>
        <xdr:cNvSpPr/>
      </xdr:nvSpPr>
      <xdr:spPr bwMode="auto">
        <a:xfrm>
          <a:off x="14382750" y="61765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286</xdr:row>
      <xdr:rowOff>119379</xdr:rowOff>
    </xdr:from>
    <xdr:to>
      <xdr:col>20</xdr:col>
      <xdr:colOff>63500</xdr:colOff>
      <xdr:row>286</xdr:row>
      <xdr:rowOff>182879</xdr:rowOff>
    </xdr:to>
    <xdr:sp macro="" textlink="">
      <xdr:nvSpPr>
        <xdr:cNvPr id="1032" name="nuNumber: 1061" hidden="1">
          <a:extLst>
            <a:ext uri="{FF2B5EF4-FFF2-40B4-BE49-F238E27FC236}">
              <a16:creationId xmlns:a16="http://schemas.microsoft.com/office/drawing/2014/main" id="{D55DAE84-35E2-46EA-B80E-A5E3E17F2378}"/>
            </a:ext>
          </a:extLst>
        </xdr:cNvPr>
        <xdr:cNvSpPr/>
      </xdr:nvSpPr>
      <xdr:spPr bwMode="auto">
        <a:xfrm>
          <a:off x="15135225" y="61765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286</xdr:row>
      <xdr:rowOff>119379</xdr:rowOff>
    </xdr:from>
    <xdr:to>
      <xdr:col>21</xdr:col>
      <xdr:colOff>63500</xdr:colOff>
      <xdr:row>286</xdr:row>
      <xdr:rowOff>182879</xdr:rowOff>
    </xdr:to>
    <xdr:sp macro="" textlink="">
      <xdr:nvSpPr>
        <xdr:cNvPr id="1033" name="nuNumber: 1062" hidden="1">
          <a:extLst>
            <a:ext uri="{FF2B5EF4-FFF2-40B4-BE49-F238E27FC236}">
              <a16:creationId xmlns:a16="http://schemas.microsoft.com/office/drawing/2014/main" id="{3BC85223-6BDC-4D48-95DF-7A61A49309B4}"/>
            </a:ext>
          </a:extLst>
        </xdr:cNvPr>
        <xdr:cNvSpPr/>
      </xdr:nvSpPr>
      <xdr:spPr bwMode="auto">
        <a:xfrm>
          <a:off x="15849600" y="61765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286</xdr:row>
      <xdr:rowOff>119379</xdr:rowOff>
    </xdr:from>
    <xdr:to>
      <xdr:col>30</xdr:col>
      <xdr:colOff>63499</xdr:colOff>
      <xdr:row>286</xdr:row>
      <xdr:rowOff>182879</xdr:rowOff>
    </xdr:to>
    <xdr:sp macro="" textlink="">
      <xdr:nvSpPr>
        <xdr:cNvPr id="1034" name="nuNumber: 1063" hidden="1">
          <a:extLst>
            <a:ext uri="{FF2B5EF4-FFF2-40B4-BE49-F238E27FC236}">
              <a16:creationId xmlns:a16="http://schemas.microsoft.com/office/drawing/2014/main" id="{82733B56-E8A5-4BC6-B576-374CD0866A87}"/>
            </a:ext>
          </a:extLst>
        </xdr:cNvPr>
        <xdr:cNvSpPr/>
      </xdr:nvSpPr>
      <xdr:spPr bwMode="auto">
        <a:xfrm>
          <a:off x="22242779" y="61765179"/>
          <a:ext cx="61595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286</xdr:row>
      <xdr:rowOff>119379</xdr:rowOff>
    </xdr:from>
    <xdr:to>
      <xdr:col>31</xdr:col>
      <xdr:colOff>63500</xdr:colOff>
      <xdr:row>286</xdr:row>
      <xdr:rowOff>182879</xdr:rowOff>
    </xdr:to>
    <xdr:sp macro="" textlink="">
      <xdr:nvSpPr>
        <xdr:cNvPr id="1035" name="nuNumber: 1064" hidden="1">
          <a:extLst>
            <a:ext uri="{FF2B5EF4-FFF2-40B4-BE49-F238E27FC236}">
              <a16:creationId xmlns:a16="http://schemas.microsoft.com/office/drawing/2014/main" id="{38D4C6A3-FBF3-41CD-B75F-773F5AE5BE09}"/>
            </a:ext>
          </a:extLst>
        </xdr:cNvPr>
        <xdr:cNvSpPr/>
      </xdr:nvSpPr>
      <xdr:spPr bwMode="auto">
        <a:xfrm>
          <a:off x="23383875" y="61765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287</xdr:row>
      <xdr:rowOff>119378</xdr:rowOff>
    </xdr:from>
    <xdr:to>
      <xdr:col>8</xdr:col>
      <xdr:colOff>63500</xdr:colOff>
      <xdr:row>287</xdr:row>
      <xdr:rowOff>182878</xdr:rowOff>
    </xdr:to>
    <xdr:sp macro="" textlink="">
      <xdr:nvSpPr>
        <xdr:cNvPr id="1036" name="nuNumber: 1065" hidden="1">
          <a:extLst>
            <a:ext uri="{FF2B5EF4-FFF2-40B4-BE49-F238E27FC236}">
              <a16:creationId xmlns:a16="http://schemas.microsoft.com/office/drawing/2014/main" id="{222E8D34-EFA0-4A98-9852-84765D3157FE}"/>
            </a:ext>
          </a:extLst>
        </xdr:cNvPr>
        <xdr:cNvSpPr/>
      </xdr:nvSpPr>
      <xdr:spPr bwMode="auto">
        <a:xfrm>
          <a:off x="5562600" y="619747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287</xdr:row>
      <xdr:rowOff>119378</xdr:rowOff>
    </xdr:from>
    <xdr:to>
      <xdr:col>9</xdr:col>
      <xdr:colOff>63500</xdr:colOff>
      <xdr:row>287</xdr:row>
      <xdr:rowOff>182878</xdr:rowOff>
    </xdr:to>
    <xdr:sp macro="" textlink="">
      <xdr:nvSpPr>
        <xdr:cNvPr id="1037" name="nuNumber: 1066" hidden="1">
          <a:extLst>
            <a:ext uri="{FF2B5EF4-FFF2-40B4-BE49-F238E27FC236}">
              <a16:creationId xmlns:a16="http://schemas.microsoft.com/office/drawing/2014/main" id="{71E8474F-8748-47C8-9C53-213FF5672CF0}"/>
            </a:ext>
          </a:extLst>
        </xdr:cNvPr>
        <xdr:cNvSpPr/>
      </xdr:nvSpPr>
      <xdr:spPr bwMode="auto">
        <a:xfrm>
          <a:off x="6467475" y="619747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287</xdr:row>
      <xdr:rowOff>119378</xdr:rowOff>
    </xdr:from>
    <xdr:to>
      <xdr:col>9</xdr:col>
      <xdr:colOff>63500</xdr:colOff>
      <xdr:row>287</xdr:row>
      <xdr:rowOff>182878</xdr:rowOff>
    </xdr:to>
    <xdr:sp macro="" textlink="">
      <xdr:nvSpPr>
        <xdr:cNvPr id="1038" name="nuNumber: 1067" hidden="1">
          <a:extLst>
            <a:ext uri="{FF2B5EF4-FFF2-40B4-BE49-F238E27FC236}">
              <a16:creationId xmlns:a16="http://schemas.microsoft.com/office/drawing/2014/main" id="{D8F074B1-2C53-43A8-AB83-8C1C13770CB7}"/>
            </a:ext>
          </a:extLst>
        </xdr:cNvPr>
        <xdr:cNvSpPr/>
      </xdr:nvSpPr>
      <xdr:spPr bwMode="auto">
        <a:xfrm>
          <a:off x="6467475" y="619747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287</xdr:row>
      <xdr:rowOff>119378</xdr:rowOff>
    </xdr:from>
    <xdr:to>
      <xdr:col>10</xdr:col>
      <xdr:colOff>63500</xdr:colOff>
      <xdr:row>287</xdr:row>
      <xdr:rowOff>182878</xdr:rowOff>
    </xdr:to>
    <xdr:sp macro="" textlink="">
      <xdr:nvSpPr>
        <xdr:cNvPr id="1039" name="nuNumber: 1068" hidden="1">
          <a:extLst>
            <a:ext uri="{FF2B5EF4-FFF2-40B4-BE49-F238E27FC236}">
              <a16:creationId xmlns:a16="http://schemas.microsoft.com/office/drawing/2014/main" id="{D93538EB-CD8F-4AFE-828F-633E94DF546C}"/>
            </a:ext>
          </a:extLst>
        </xdr:cNvPr>
        <xdr:cNvSpPr/>
      </xdr:nvSpPr>
      <xdr:spPr bwMode="auto">
        <a:xfrm>
          <a:off x="7315200" y="619747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287</xdr:row>
      <xdr:rowOff>119378</xdr:rowOff>
    </xdr:from>
    <xdr:to>
      <xdr:col>11</xdr:col>
      <xdr:colOff>63500</xdr:colOff>
      <xdr:row>287</xdr:row>
      <xdr:rowOff>182878</xdr:rowOff>
    </xdr:to>
    <xdr:sp macro="" textlink="">
      <xdr:nvSpPr>
        <xdr:cNvPr id="1040" name="nuNumber: 1069" hidden="1">
          <a:extLst>
            <a:ext uri="{FF2B5EF4-FFF2-40B4-BE49-F238E27FC236}">
              <a16:creationId xmlns:a16="http://schemas.microsoft.com/office/drawing/2014/main" id="{A611482C-A4E6-4F6F-8D88-719B7F6F55D7}"/>
            </a:ext>
          </a:extLst>
        </xdr:cNvPr>
        <xdr:cNvSpPr/>
      </xdr:nvSpPr>
      <xdr:spPr bwMode="auto">
        <a:xfrm>
          <a:off x="8105775" y="619747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287</xdr:row>
      <xdr:rowOff>119378</xdr:rowOff>
    </xdr:from>
    <xdr:to>
      <xdr:col>12</xdr:col>
      <xdr:colOff>63500</xdr:colOff>
      <xdr:row>287</xdr:row>
      <xdr:rowOff>182878</xdr:rowOff>
    </xdr:to>
    <xdr:sp macro="" textlink="">
      <xdr:nvSpPr>
        <xdr:cNvPr id="1041" name="nuNumber: 1070" hidden="1">
          <a:extLst>
            <a:ext uri="{FF2B5EF4-FFF2-40B4-BE49-F238E27FC236}">
              <a16:creationId xmlns:a16="http://schemas.microsoft.com/office/drawing/2014/main" id="{91D57700-BBC5-4067-8F79-30A029992E36}"/>
            </a:ext>
          </a:extLst>
        </xdr:cNvPr>
        <xdr:cNvSpPr/>
      </xdr:nvSpPr>
      <xdr:spPr bwMode="auto">
        <a:xfrm>
          <a:off x="8972550" y="619747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287</xdr:row>
      <xdr:rowOff>119378</xdr:rowOff>
    </xdr:from>
    <xdr:to>
      <xdr:col>13</xdr:col>
      <xdr:colOff>63500</xdr:colOff>
      <xdr:row>287</xdr:row>
      <xdr:rowOff>182878</xdr:rowOff>
    </xdr:to>
    <xdr:sp macro="" textlink="">
      <xdr:nvSpPr>
        <xdr:cNvPr id="1042" name="nuNumber: 1071" hidden="1">
          <a:extLst>
            <a:ext uri="{FF2B5EF4-FFF2-40B4-BE49-F238E27FC236}">
              <a16:creationId xmlns:a16="http://schemas.microsoft.com/office/drawing/2014/main" id="{417C1D0F-41C6-4B2D-9EEF-6578A16B8D32}"/>
            </a:ext>
          </a:extLst>
        </xdr:cNvPr>
        <xdr:cNvSpPr/>
      </xdr:nvSpPr>
      <xdr:spPr bwMode="auto">
        <a:xfrm>
          <a:off x="9753600" y="619747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287</xdr:row>
      <xdr:rowOff>119378</xdr:rowOff>
    </xdr:from>
    <xdr:to>
      <xdr:col>14</xdr:col>
      <xdr:colOff>63500</xdr:colOff>
      <xdr:row>287</xdr:row>
      <xdr:rowOff>182878</xdr:rowOff>
    </xdr:to>
    <xdr:sp macro="" textlink="">
      <xdr:nvSpPr>
        <xdr:cNvPr id="1043" name="nuNumber: 1072" hidden="1">
          <a:extLst>
            <a:ext uri="{FF2B5EF4-FFF2-40B4-BE49-F238E27FC236}">
              <a16:creationId xmlns:a16="http://schemas.microsoft.com/office/drawing/2014/main" id="{307B5965-3A42-4DD4-B0BF-F8D83CC972FD}"/>
            </a:ext>
          </a:extLst>
        </xdr:cNvPr>
        <xdr:cNvSpPr/>
      </xdr:nvSpPr>
      <xdr:spPr bwMode="auto">
        <a:xfrm>
          <a:off x="10515600" y="619747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287</xdr:row>
      <xdr:rowOff>119378</xdr:rowOff>
    </xdr:from>
    <xdr:to>
      <xdr:col>15</xdr:col>
      <xdr:colOff>63500</xdr:colOff>
      <xdr:row>287</xdr:row>
      <xdr:rowOff>182878</xdr:rowOff>
    </xdr:to>
    <xdr:sp macro="" textlink="">
      <xdr:nvSpPr>
        <xdr:cNvPr id="1044" name="nuNumber: 1073" hidden="1">
          <a:extLst>
            <a:ext uri="{FF2B5EF4-FFF2-40B4-BE49-F238E27FC236}">
              <a16:creationId xmlns:a16="http://schemas.microsoft.com/office/drawing/2014/main" id="{F65A4D52-A0FC-411F-96E8-AF2ACA504331}"/>
            </a:ext>
          </a:extLst>
        </xdr:cNvPr>
        <xdr:cNvSpPr/>
      </xdr:nvSpPr>
      <xdr:spPr bwMode="auto">
        <a:xfrm>
          <a:off x="11325225" y="619747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287</xdr:row>
      <xdr:rowOff>119378</xdr:rowOff>
    </xdr:from>
    <xdr:to>
      <xdr:col>16</xdr:col>
      <xdr:colOff>63500</xdr:colOff>
      <xdr:row>287</xdr:row>
      <xdr:rowOff>182878</xdr:rowOff>
    </xdr:to>
    <xdr:sp macro="" textlink="">
      <xdr:nvSpPr>
        <xdr:cNvPr id="1045" name="nuNumber: 1074" hidden="1">
          <a:extLst>
            <a:ext uri="{FF2B5EF4-FFF2-40B4-BE49-F238E27FC236}">
              <a16:creationId xmlns:a16="http://schemas.microsoft.com/office/drawing/2014/main" id="{D4D7C09C-9C37-44C8-9DE5-8E92214B4DE7}"/>
            </a:ext>
          </a:extLst>
        </xdr:cNvPr>
        <xdr:cNvSpPr/>
      </xdr:nvSpPr>
      <xdr:spPr bwMode="auto">
        <a:xfrm>
          <a:off x="12106275" y="619747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287</xdr:row>
      <xdr:rowOff>119378</xdr:rowOff>
    </xdr:from>
    <xdr:to>
      <xdr:col>17</xdr:col>
      <xdr:colOff>63500</xdr:colOff>
      <xdr:row>287</xdr:row>
      <xdr:rowOff>182878</xdr:rowOff>
    </xdr:to>
    <xdr:sp macro="" textlink="">
      <xdr:nvSpPr>
        <xdr:cNvPr id="1046" name="nuNumber: 1075" hidden="1">
          <a:extLst>
            <a:ext uri="{FF2B5EF4-FFF2-40B4-BE49-F238E27FC236}">
              <a16:creationId xmlns:a16="http://schemas.microsoft.com/office/drawing/2014/main" id="{88E2B06C-D1AE-4260-B661-D4833A04F867}"/>
            </a:ext>
          </a:extLst>
        </xdr:cNvPr>
        <xdr:cNvSpPr/>
      </xdr:nvSpPr>
      <xdr:spPr bwMode="auto">
        <a:xfrm>
          <a:off x="12887325" y="619747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287</xdr:row>
      <xdr:rowOff>119378</xdr:rowOff>
    </xdr:from>
    <xdr:to>
      <xdr:col>18</xdr:col>
      <xdr:colOff>63499</xdr:colOff>
      <xdr:row>287</xdr:row>
      <xdr:rowOff>182878</xdr:rowOff>
    </xdr:to>
    <xdr:sp macro="" textlink="">
      <xdr:nvSpPr>
        <xdr:cNvPr id="1047" name="nuNumber: 1076" hidden="1">
          <a:extLst>
            <a:ext uri="{FF2B5EF4-FFF2-40B4-BE49-F238E27FC236}">
              <a16:creationId xmlns:a16="http://schemas.microsoft.com/office/drawing/2014/main" id="{75EED6B6-5F86-42F8-8519-6CE42726DC09}"/>
            </a:ext>
          </a:extLst>
        </xdr:cNvPr>
        <xdr:cNvSpPr/>
      </xdr:nvSpPr>
      <xdr:spPr bwMode="auto">
        <a:xfrm>
          <a:off x="13624559" y="61974728"/>
          <a:ext cx="5969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287</xdr:row>
      <xdr:rowOff>119378</xdr:rowOff>
    </xdr:from>
    <xdr:to>
      <xdr:col>19</xdr:col>
      <xdr:colOff>63500</xdr:colOff>
      <xdr:row>287</xdr:row>
      <xdr:rowOff>182878</xdr:rowOff>
    </xdr:to>
    <xdr:sp macro="" textlink="">
      <xdr:nvSpPr>
        <xdr:cNvPr id="1048" name="nuNumber: 1077" hidden="1">
          <a:extLst>
            <a:ext uri="{FF2B5EF4-FFF2-40B4-BE49-F238E27FC236}">
              <a16:creationId xmlns:a16="http://schemas.microsoft.com/office/drawing/2014/main" id="{0D650F98-EBD5-489E-B343-438F7FB7F099}"/>
            </a:ext>
          </a:extLst>
        </xdr:cNvPr>
        <xdr:cNvSpPr/>
      </xdr:nvSpPr>
      <xdr:spPr bwMode="auto">
        <a:xfrm>
          <a:off x="14382750" y="619747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287</xdr:row>
      <xdr:rowOff>119378</xdr:rowOff>
    </xdr:from>
    <xdr:to>
      <xdr:col>20</xdr:col>
      <xdr:colOff>63500</xdr:colOff>
      <xdr:row>287</xdr:row>
      <xdr:rowOff>182878</xdr:rowOff>
    </xdr:to>
    <xdr:sp macro="" textlink="">
      <xdr:nvSpPr>
        <xdr:cNvPr id="1049" name="nuNumber: 1078" hidden="1">
          <a:extLst>
            <a:ext uri="{FF2B5EF4-FFF2-40B4-BE49-F238E27FC236}">
              <a16:creationId xmlns:a16="http://schemas.microsoft.com/office/drawing/2014/main" id="{E6352EF6-27A4-4EED-9916-B11E502FDA40}"/>
            </a:ext>
          </a:extLst>
        </xdr:cNvPr>
        <xdr:cNvSpPr/>
      </xdr:nvSpPr>
      <xdr:spPr bwMode="auto">
        <a:xfrm>
          <a:off x="15135225" y="619747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287</xdr:row>
      <xdr:rowOff>119378</xdr:rowOff>
    </xdr:from>
    <xdr:to>
      <xdr:col>21</xdr:col>
      <xdr:colOff>63500</xdr:colOff>
      <xdr:row>287</xdr:row>
      <xdr:rowOff>182878</xdr:rowOff>
    </xdr:to>
    <xdr:sp macro="" textlink="">
      <xdr:nvSpPr>
        <xdr:cNvPr id="1050" name="nuNumber: 1079" hidden="1">
          <a:extLst>
            <a:ext uri="{FF2B5EF4-FFF2-40B4-BE49-F238E27FC236}">
              <a16:creationId xmlns:a16="http://schemas.microsoft.com/office/drawing/2014/main" id="{2BEC3C1B-9734-47B8-A184-96E7EB416D20}"/>
            </a:ext>
          </a:extLst>
        </xdr:cNvPr>
        <xdr:cNvSpPr/>
      </xdr:nvSpPr>
      <xdr:spPr bwMode="auto">
        <a:xfrm>
          <a:off x="15849600" y="619747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287</xdr:row>
      <xdr:rowOff>119378</xdr:rowOff>
    </xdr:from>
    <xdr:to>
      <xdr:col>30</xdr:col>
      <xdr:colOff>63499</xdr:colOff>
      <xdr:row>287</xdr:row>
      <xdr:rowOff>182878</xdr:rowOff>
    </xdr:to>
    <xdr:sp macro="" textlink="">
      <xdr:nvSpPr>
        <xdr:cNvPr id="1051" name="nuNumber: 1080" hidden="1">
          <a:extLst>
            <a:ext uri="{FF2B5EF4-FFF2-40B4-BE49-F238E27FC236}">
              <a16:creationId xmlns:a16="http://schemas.microsoft.com/office/drawing/2014/main" id="{206DFAAD-0A14-4D2D-9D9E-FEF283EE4079}"/>
            </a:ext>
          </a:extLst>
        </xdr:cNvPr>
        <xdr:cNvSpPr/>
      </xdr:nvSpPr>
      <xdr:spPr bwMode="auto">
        <a:xfrm>
          <a:off x="22242779" y="61974728"/>
          <a:ext cx="61595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287</xdr:row>
      <xdr:rowOff>119378</xdr:rowOff>
    </xdr:from>
    <xdr:to>
      <xdr:col>31</xdr:col>
      <xdr:colOff>63500</xdr:colOff>
      <xdr:row>287</xdr:row>
      <xdr:rowOff>182878</xdr:rowOff>
    </xdr:to>
    <xdr:sp macro="" textlink="">
      <xdr:nvSpPr>
        <xdr:cNvPr id="1052" name="nuNumber: 1081" hidden="1">
          <a:extLst>
            <a:ext uri="{FF2B5EF4-FFF2-40B4-BE49-F238E27FC236}">
              <a16:creationId xmlns:a16="http://schemas.microsoft.com/office/drawing/2014/main" id="{BA1DB95F-614D-4383-A0CF-F39784FB10AD}"/>
            </a:ext>
          </a:extLst>
        </xdr:cNvPr>
        <xdr:cNvSpPr/>
      </xdr:nvSpPr>
      <xdr:spPr bwMode="auto">
        <a:xfrm>
          <a:off x="23383875" y="619747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288</xdr:row>
      <xdr:rowOff>119382</xdr:rowOff>
    </xdr:from>
    <xdr:to>
      <xdr:col>8</xdr:col>
      <xdr:colOff>63500</xdr:colOff>
      <xdr:row>289</xdr:row>
      <xdr:rowOff>2</xdr:rowOff>
    </xdr:to>
    <xdr:sp macro="" textlink="">
      <xdr:nvSpPr>
        <xdr:cNvPr id="1053" name="nuNumber: 1082" hidden="1">
          <a:extLst>
            <a:ext uri="{FF2B5EF4-FFF2-40B4-BE49-F238E27FC236}">
              <a16:creationId xmlns:a16="http://schemas.microsoft.com/office/drawing/2014/main" id="{14A956C5-B86F-4179-BD84-961999ABF14F}"/>
            </a:ext>
          </a:extLst>
        </xdr:cNvPr>
        <xdr:cNvSpPr/>
      </xdr:nvSpPr>
      <xdr:spPr bwMode="auto">
        <a:xfrm>
          <a:off x="5562600" y="621842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288</xdr:row>
      <xdr:rowOff>119382</xdr:rowOff>
    </xdr:from>
    <xdr:to>
      <xdr:col>9</xdr:col>
      <xdr:colOff>63500</xdr:colOff>
      <xdr:row>289</xdr:row>
      <xdr:rowOff>2</xdr:rowOff>
    </xdr:to>
    <xdr:sp macro="" textlink="">
      <xdr:nvSpPr>
        <xdr:cNvPr id="1054" name="nuNumber: 1083" hidden="1">
          <a:extLst>
            <a:ext uri="{FF2B5EF4-FFF2-40B4-BE49-F238E27FC236}">
              <a16:creationId xmlns:a16="http://schemas.microsoft.com/office/drawing/2014/main" id="{4D5339DF-140B-41E4-B468-3B30854EEE97}"/>
            </a:ext>
          </a:extLst>
        </xdr:cNvPr>
        <xdr:cNvSpPr/>
      </xdr:nvSpPr>
      <xdr:spPr bwMode="auto">
        <a:xfrm>
          <a:off x="6467475" y="621842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288</xdr:row>
      <xdr:rowOff>119382</xdr:rowOff>
    </xdr:from>
    <xdr:to>
      <xdr:col>9</xdr:col>
      <xdr:colOff>63500</xdr:colOff>
      <xdr:row>289</xdr:row>
      <xdr:rowOff>2</xdr:rowOff>
    </xdr:to>
    <xdr:sp macro="" textlink="">
      <xdr:nvSpPr>
        <xdr:cNvPr id="1055" name="nuNumber: 1084" hidden="1">
          <a:extLst>
            <a:ext uri="{FF2B5EF4-FFF2-40B4-BE49-F238E27FC236}">
              <a16:creationId xmlns:a16="http://schemas.microsoft.com/office/drawing/2014/main" id="{AF461A49-A7E5-4223-80D3-A9474A02F054}"/>
            </a:ext>
          </a:extLst>
        </xdr:cNvPr>
        <xdr:cNvSpPr/>
      </xdr:nvSpPr>
      <xdr:spPr bwMode="auto">
        <a:xfrm>
          <a:off x="6467475" y="621842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288</xdr:row>
      <xdr:rowOff>119382</xdr:rowOff>
    </xdr:from>
    <xdr:to>
      <xdr:col>10</xdr:col>
      <xdr:colOff>63500</xdr:colOff>
      <xdr:row>289</xdr:row>
      <xdr:rowOff>2</xdr:rowOff>
    </xdr:to>
    <xdr:sp macro="" textlink="">
      <xdr:nvSpPr>
        <xdr:cNvPr id="1056" name="nuNumber: 1085" hidden="1">
          <a:extLst>
            <a:ext uri="{FF2B5EF4-FFF2-40B4-BE49-F238E27FC236}">
              <a16:creationId xmlns:a16="http://schemas.microsoft.com/office/drawing/2014/main" id="{F22A9724-E610-47FD-813D-1E24860CEA4B}"/>
            </a:ext>
          </a:extLst>
        </xdr:cNvPr>
        <xdr:cNvSpPr/>
      </xdr:nvSpPr>
      <xdr:spPr bwMode="auto">
        <a:xfrm>
          <a:off x="7315200" y="621842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288</xdr:row>
      <xdr:rowOff>119382</xdr:rowOff>
    </xdr:from>
    <xdr:to>
      <xdr:col>11</xdr:col>
      <xdr:colOff>63500</xdr:colOff>
      <xdr:row>289</xdr:row>
      <xdr:rowOff>2</xdr:rowOff>
    </xdr:to>
    <xdr:sp macro="" textlink="">
      <xdr:nvSpPr>
        <xdr:cNvPr id="1057" name="nuNumber: 1086" hidden="1">
          <a:extLst>
            <a:ext uri="{FF2B5EF4-FFF2-40B4-BE49-F238E27FC236}">
              <a16:creationId xmlns:a16="http://schemas.microsoft.com/office/drawing/2014/main" id="{50BF8F8D-E366-46FD-AEEB-D9C4A89C62D2}"/>
            </a:ext>
          </a:extLst>
        </xdr:cNvPr>
        <xdr:cNvSpPr/>
      </xdr:nvSpPr>
      <xdr:spPr bwMode="auto">
        <a:xfrm>
          <a:off x="8105775" y="621842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288</xdr:row>
      <xdr:rowOff>119382</xdr:rowOff>
    </xdr:from>
    <xdr:to>
      <xdr:col>12</xdr:col>
      <xdr:colOff>63500</xdr:colOff>
      <xdr:row>289</xdr:row>
      <xdr:rowOff>2</xdr:rowOff>
    </xdr:to>
    <xdr:sp macro="" textlink="">
      <xdr:nvSpPr>
        <xdr:cNvPr id="1058" name="nuNumber: 1087" hidden="1">
          <a:extLst>
            <a:ext uri="{FF2B5EF4-FFF2-40B4-BE49-F238E27FC236}">
              <a16:creationId xmlns:a16="http://schemas.microsoft.com/office/drawing/2014/main" id="{A22BB6B7-679B-47C4-884F-C88817526122}"/>
            </a:ext>
          </a:extLst>
        </xdr:cNvPr>
        <xdr:cNvSpPr/>
      </xdr:nvSpPr>
      <xdr:spPr bwMode="auto">
        <a:xfrm>
          <a:off x="8972550" y="621842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288</xdr:row>
      <xdr:rowOff>119382</xdr:rowOff>
    </xdr:from>
    <xdr:to>
      <xdr:col>13</xdr:col>
      <xdr:colOff>63500</xdr:colOff>
      <xdr:row>289</xdr:row>
      <xdr:rowOff>2</xdr:rowOff>
    </xdr:to>
    <xdr:sp macro="" textlink="">
      <xdr:nvSpPr>
        <xdr:cNvPr id="1059" name="nuNumber: 1088" hidden="1">
          <a:extLst>
            <a:ext uri="{FF2B5EF4-FFF2-40B4-BE49-F238E27FC236}">
              <a16:creationId xmlns:a16="http://schemas.microsoft.com/office/drawing/2014/main" id="{85FFD2AA-E1A6-4FC2-A459-1698C1F5156F}"/>
            </a:ext>
          </a:extLst>
        </xdr:cNvPr>
        <xdr:cNvSpPr/>
      </xdr:nvSpPr>
      <xdr:spPr bwMode="auto">
        <a:xfrm>
          <a:off x="9753600" y="621842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288</xdr:row>
      <xdr:rowOff>119382</xdr:rowOff>
    </xdr:from>
    <xdr:to>
      <xdr:col>14</xdr:col>
      <xdr:colOff>63500</xdr:colOff>
      <xdr:row>289</xdr:row>
      <xdr:rowOff>2</xdr:rowOff>
    </xdr:to>
    <xdr:sp macro="" textlink="">
      <xdr:nvSpPr>
        <xdr:cNvPr id="1060" name="nuNumber: 1089" hidden="1">
          <a:extLst>
            <a:ext uri="{FF2B5EF4-FFF2-40B4-BE49-F238E27FC236}">
              <a16:creationId xmlns:a16="http://schemas.microsoft.com/office/drawing/2014/main" id="{EE1A2DEB-EDB1-4F48-8BEA-B2DCBE00C7F7}"/>
            </a:ext>
          </a:extLst>
        </xdr:cNvPr>
        <xdr:cNvSpPr/>
      </xdr:nvSpPr>
      <xdr:spPr bwMode="auto">
        <a:xfrm>
          <a:off x="10515600" y="621842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288</xdr:row>
      <xdr:rowOff>119382</xdr:rowOff>
    </xdr:from>
    <xdr:to>
      <xdr:col>15</xdr:col>
      <xdr:colOff>63500</xdr:colOff>
      <xdr:row>289</xdr:row>
      <xdr:rowOff>2</xdr:rowOff>
    </xdr:to>
    <xdr:sp macro="" textlink="">
      <xdr:nvSpPr>
        <xdr:cNvPr id="1061" name="nuNumber: 1090" hidden="1">
          <a:extLst>
            <a:ext uri="{FF2B5EF4-FFF2-40B4-BE49-F238E27FC236}">
              <a16:creationId xmlns:a16="http://schemas.microsoft.com/office/drawing/2014/main" id="{F9FA8F58-BD42-4387-9D59-28D794636F7F}"/>
            </a:ext>
          </a:extLst>
        </xdr:cNvPr>
        <xdr:cNvSpPr/>
      </xdr:nvSpPr>
      <xdr:spPr bwMode="auto">
        <a:xfrm>
          <a:off x="11325225" y="621842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288</xdr:row>
      <xdr:rowOff>119382</xdr:rowOff>
    </xdr:from>
    <xdr:to>
      <xdr:col>16</xdr:col>
      <xdr:colOff>63500</xdr:colOff>
      <xdr:row>289</xdr:row>
      <xdr:rowOff>2</xdr:rowOff>
    </xdr:to>
    <xdr:sp macro="" textlink="">
      <xdr:nvSpPr>
        <xdr:cNvPr id="1062" name="nuNumber: 1091" hidden="1">
          <a:extLst>
            <a:ext uri="{FF2B5EF4-FFF2-40B4-BE49-F238E27FC236}">
              <a16:creationId xmlns:a16="http://schemas.microsoft.com/office/drawing/2014/main" id="{4CF0C9D7-B159-414A-8E47-0CBF9ED43B7B}"/>
            </a:ext>
          </a:extLst>
        </xdr:cNvPr>
        <xdr:cNvSpPr/>
      </xdr:nvSpPr>
      <xdr:spPr bwMode="auto">
        <a:xfrm>
          <a:off x="12106275" y="621842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288</xdr:row>
      <xdr:rowOff>119382</xdr:rowOff>
    </xdr:from>
    <xdr:to>
      <xdr:col>17</xdr:col>
      <xdr:colOff>63500</xdr:colOff>
      <xdr:row>289</xdr:row>
      <xdr:rowOff>2</xdr:rowOff>
    </xdr:to>
    <xdr:sp macro="" textlink="">
      <xdr:nvSpPr>
        <xdr:cNvPr id="1063" name="nuNumber: 1092" hidden="1">
          <a:extLst>
            <a:ext uri="{FF2B5EF4-FFF2-40B4-BE49-F238E27FC236}">
              <a16:creationId xmlns:a16="http://schemas.microsoft.com/office/drawing/2014/main" id="{7A8CE449-168D-45A0-8BCB-29FF4A6DB3B9}"/>
            </a:ext>
          </a:extLst>
        </xdr:cNvPr>
        <xdr:cNvSpPr/>
      </xdr:nvSpPr>
      <xdr:spPr bwMode="auto">
        <a:xfrm>
          <a:off x="12887325" y="621842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288</xdr:row>
      <xdr:rowOff>119382</xdr:rowOff>
    </xdr:from>
    <xdr:to>
      <xdr:col>18</xdr:col>
      <xdr:colOff>63499</xdr:colOff>
      <xdr:row>289</xdr:row>
      <xdr:rowOff>2</xdr:rowOff>
    </xdr:to>
    <xdr:sp macro="" textlink="">
      <xdr:nvSpPr>
        <xdr:cNvPr id="1064" name="nuNumber: 1093" hidden="1">
          <a:extLst>
            <a:ext uri="{FF2B5EF4-FFF2-40B4-BE49-F238E27FC236}">
              <a16:creationId xmlns:a16="http://schemas.microsoft.com/office/drawing/2014/main" id="{B1F7179E-B201-4739-8744-3B77D9207173}"/>
            </a:ext>
          </a:extLst>
        </xdr:cNvPr>
        <xdr:cNvSpPr/>
      </xdr:nvSpPr>
      <xdr:spPr bwMode="auto">
        <a:xfrm>
          <a:off x="13624559" y="62184282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288</xdr:row>
      <xdr:rowOff>119382</xdr:rowOff>
    </xdr:from>
    <xdr:to>
      <xdr:col>19</xdr:col>
      <xdr:colOff>63500</xdr:colOff>
      <xdr:row>289</xdr:row>
      <xdr:rowOff>2</xdr:rowOff>
    </xdr:to>
    <xdr:sp macro="" textlink="">
      <xdr:nvSpPr>
        <xdr:cNvPr id="1065" name="nuNumber: 1094" hidden="1">
          <a:extLst>
            <a:ext uri="{FF2B5EF4-FFF2-40B4-BE49-F238E27FC236}">
              <a16:creationId xmlns:a16="http://schemas.microsoft.com/office/drawing/2014/main" id="{241DF3DF-5EA3-4F9A-9990-1D6A0D43A42C}"/>
            </a:ext>
          </a:extLst>
        </xdr:cNvPr>
        <xdr:cNvSpPr/>
      </xdr:nvSpPr>
      <xdr:spPr bwMode="auto">
        <a:xfrm>
          <a:off x="14382750" y="621842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288</xdr:row>
      <xdr:rowOff>119382</xdr:rowOff>
    </xdr:from>
    <xdr:to>
      <xdr:col>20</xdr:col>
      <xdr:colOff>63500</xdr:colOff>
      <xdr:row>289</xdr:row>
      <xdr:rowOff>2</xdr:rowOff>
    </xdr:to>
    <xdr:sp macro="" textlink="">
      <xdr:nvSpPr>
        <xdr:cNvPr id="1066" name="nuNumber: 1095" hidden="1">
          <a:extLst>
            <a:ext uri="{FF2B5EF4-FFF2-40B4-BE49-F238E27FC236}">
              <a16:creationId xmlns:a16="http://schemas.microsoft.com/office/drawing/2014/main" id="{D0FC4BE8-31EF-4B07-823C-53C43C4DEB40}"/>
            </a:ext>
          </a:extLst>
        </xdr:cNvPr>
        <xdr:cNvSpPr/>
      </xdr:nvSpPr>
      <xdr:spPr bwMode="auto">
        <a:xfrm>
          <a:off x="15135225" y="621842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288</xdr:row>
      <xdr:rowOff>119382</xdr:rowOff>
    </xdr:from>
    <xdr:to>
      <xdr:col>21</xdr:col>
      <xdr:colOff>63500</xdr:colOff>
      <xdr:row>289</xdr:row>
      <xdr:rowOff>2</xdr:rowOff>
    </xdr:to>
    <xdr:sp macro="" textlink="">
      <xdr:nvSpPr>
        <xdr:cNvPr id="1067" name="nuNumber: 1096" hidden="1">
          <a:extLst>
            <a:ext uri="{FF2B5EF4-FFF2-40B4-BE49-F238E27FC236}">
              <a16:creationId xmlns:a16="http://schemas.microsoft.com/office/drawing/2014/main" id="{8D9FF505-B2BD-4CCB-82F6-56F93B99EBBF}"/>
            </a:ext>
          </a:extLst>
        </xdr:cNvPr>
        <xdr:cNvSpPr/>
      </xdr:nvSpPr>
      <xdr:spPr bwMode="auto">
        <a:xfrm>
          <a:off x="15849600" y="621842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288</xdr:row>
      <xdr:rowOff>119382</xdr:rowOff>
    </xdr:from>
    <xdr:to>
      <xdr:col>30</xdr:col>
      <xdr:colOff>63499</xdr:colOff>
      <xdr:row>289</xdr:row>
      <xdr:rowOff>2</xdr:rowOff>
    </xdr:to>
    <xdr:sp macro="" textlink="">
      <xdr:nvSpPr>
        <xdr:cNvPr id="1068" name="nuNumber: 1097" hidden="1">
          <a:extLst>
            <a:ext uri="{FF2B5EF4-FFF2-40B4-BE49-F238E27FC236}">
              <a16:creationId xmlns:a16="http://schemas.microsoft.com/office/drawing/2014/main" id="{C626B88B-98CB-45AE-80F9-5514F46C35E2}"/>
            </a:ext>
          </a:extLst>
        </xdr:cNvPr>
        <xdr:cNvSpPr/>
      </xdr:nvSpPr>
      <xdr:spPr bwMode="auto">
        <a:xfrm>
          <a:off x="22242779" y="62184282"/>
          <a:ext cx="61595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288</xdr:row>
      <xdr:rowOff>119382</xdr:rowOff>
    </xdr:from>
    <xdr:to>
      <xdr:col>31</xdr:col>
      <xdr:colOff>63500</xdr:colOff>
      <xdr:row>289</xdr:row>
      <xdr:rowOff>2</xdr:rowOff>
    </xdr:to>
    <xdr:sp macro="" textlink="">
      <xdr:nvSpPr>
        <xdr:cNvPr id="1069" name="nuNumber: 1098" hidden="1">
          <a:extLst>
            <a:ext uri="{FF2B5EF4-FFF2-40B4-BE49-F238E27FC236}">
              <a16:creationId xmlns:a16="http://schemas.microsoft.com/office/drawing/2014/main" id="{6D358DA3-75B7-4235-839D-2633D3DE3C35}"/>
            </a:ext>
          </a:extLst>
        </xdr:cNvPr>
        <xdr:cNvSpPr/>
      </xdr:nvSpPr>
      <xdr:spPr bwMode="auto">
        <a:xfrm>
          <a:off x="23383875" y="621842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290</xdr:row>
      <xdr:rowOff>142238</xdr:rowOff>
    </xdr:from>
    <xdr:to>
      <xdr:col>6</xdr:col>
      <xdr:colOff>63500</xdr:colOff>
      <xdr:row>290</xdr:row>
      <xdr:rowOff>205738</xdr:rowOff>
    </xdr:to>
    <xdr:sp macro="" textlink="">
      <xdr:nvSpPr>
        <xdr:cNvPr id="1070" name="nuNumber: 1099" hidden="1">
          <a:extLst>
            <a:ext uri="{FF2B5EF4-FFF2-40B4-BE49-F238E27FC236}">
              <a16:creationId xmlns:a16="http://schemas.microsoft.com/office/drawing/2014/main" id="{C9123D62-D086-4ECE-BD80-CC5C4BBB5F7E}"/>
            </a:ext>
          </a:extLst>
        </xdr:cNvPr>
        <xdr:cNvSpPr/>
      </xdr:nvSpPr>
      <xdr:spPr bwMode="auto">
        <a:xfrm>
          <a:off x="3800475" y="6262623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290</xdr:row>
      <xdr:rowOff>142238</xdr:rowOff>
    </xdr:from>
    <xdr:to>
      <xdr:col>7</xdr:col>
      <xdr:colOff>63500</xdr:colOff>
      <xdr:row>290</xdr:row>
      <xdr:rowOff>205738</xdr:rowOff>
    </xdr:to>
    <xdr:sp macro="" textlink="">
      <xdr:nvSpPr>
        <xdr:cNvPr id="1071" name="nuNumber: 1100" hidden="1">
          <a:extLst>
            <a:ext uri="{FF2B5EF4-FFF2-40B4-BE49-F238E27FC236}">
              <a16:creationId xmlns:a16="http://schemas.microsoft.com/office/drawing/2014/main" id="{59A2A1C8-AAD6-4913-BA17-5B1D1617A414}"/>
            </a:ext>
          </a:extLst>
        </xdr:cNvPr>
        <xdr:cNvSpPr/>
      </xdr:nvSpPr>
      <xdr:spPr bwMode="auto">
        <a:xfrm>
          <a:off x="4676775" y="6262623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290</xdr:row>
      <xdr:rowOff>142238</xdr:rowOff>
    </xdr:from>
    <xdr:to>
      <xdr:col>9</xdr:col>
      <xdr:colOff>63500</xdr:colOff>
      <xdr:row>290</xdr:row>
      <xdr:rowOff>205738</xdr:rowOff>
    </xdr:to>
    <xdr:sp macro="" textlink="">
      <xdr:nvSpPr>
        <xdr:cNvPr id="1072" name="nuNumber: 1101" hidden="1">
          <a:extLst>
            <a:ext uri="{FF2B5EF4-FFF2-40B4-BE49-F238E27FC236}">
              <a16:creationId xmlns:a16="http://schemas.microsoft.com/office/drawing/2014/main" id="{854A42DE-B4C2-470B-8617-99CD59780073}"/>
            </a:ext>
          </a:extLst>
        </xdr:cNvPr>
        <xdr:cNvSpPr/>
      </xdr:nvSpPr>
      <xdr:spPr bwMode="auto">
        <a:xfrm>
          <a:off x="6467475" y="6262623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290</xdr:row>
      <xdr:rowOff>142238</xdr:rowOff>
    </xdr:from>
    <xdr:to>
      <xdr:col>9</xdr:col>
      <xdr:colOff>63500</xdr:colOff>
      <xdr:row>290</xdr:row>
      <xdr:rowOff>205738</xdr:rowOff>
    </xdr:to>
    <xdr:sp macro="" textlink="">
      <xdr:nvSpPr>
        <xdr:cNvPr id="1073" name="nuNumber: 1102" hidden="1">
          <a:extLst>
            <a:ext uri="{FF2B5EF4-FFF2-40B4-BE49-F238E27FC236}">
              <a16:creationId xmlns:a16="http://schemas.microsoft.com/office/drawing/2014/main" id="{B4497239-8822-4F1D-9BBE-8EA7333F577C}"/>
            </a:ext>
          </a:extLst>
        </xdr:cNvPr>
        <xdr:cNvSpPr/>
      </xdr:nvSpPr>
      <xdr:spPr bwMode="auto">
        <a:xfrm>
          <a:off x="6467475" y="6262623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290</xdr:row>
      <xdr:rowOff>142238</xdr:rowOff>
    </xdr:from>
    <xdr:to>
      <xdr:col>10</xdr:col>
      <xdr:colOff>63500</xdr:colOff>
      <xdr:row>290</xdr:row>
      <xdr:rowOff>205738</xdr:rowOff>
    </xdr:to>
    <xdr:sp macro="" textlink="">
      <xdr:nvSpPr>
        <xdr:cNvPr id="1074" name="nuNumber: 1103" hidden="1">
          <a:extLst>
            <a:ext uri="{FF2B5EF4-FFF2-40B4-BE49-F238E27FC236}">
              <a16:creationId xmlns:a16="http://schemas.microsoft.com/office/drawing/2014/main" id="{0E5D417C-1536-49FE-813A-7D2E54F4F2AD}"/>
            </a:ext>
          </a:extLst>
        </xdr:cNvPr>
        <xdr:cNvSpPr/>
      </xdr:nvSpPr>
      <xdr:spPr bwMode="auto">
        <a:xfrm>
          <a:off x="7315200" y="6262623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290</xdr:row>
      <xdr:rowOff>142238</xdr:rowOff>
    </xdr:from>
    <xdr:to>
      <xdr:col>11</xdr:col>
      <xdr:colOff>63500</xdr:colOff>
      <xdr:row>290</xdr:row>
      <xdr:rowOff>205738</xdr:rowOff>
    </xdr:to>
    <xdr:sp macro="" textlink="">
      <xdr:nvSpPr>
        <xdr:cNvPr id="1075" name="nuNumber: 1104" hidden="1">
          <a:extLst>
            <a:ext uri="{FF2B5EF4-FFF2-40B4-BE49-F238E27FC236}">
              <a16:creationId xmlns:a16="http://schemas.microsoft.com/office/drawing/2014/main" id="{6209CDDA-4450-4D38-A481-455DA812C5B3}"/>
            </a:ext>
          </a:extLst>
        </xdr:cNvPr>
        <xdr:cNvSpPr/>
      </xdr:nvSpPr>
      <xdr:spPr bwMode="auto">
        <a:xfrm>
          <a:off x="8105775" y="6262623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290</xdr:row>
      <xdr:rowOff>142238</xdr:rowOff>
    </xdr:from>
    <xdr:to>
      <xdr:col>12</xdr:col>
      <xdr:colOff>63500</xdr:colOff>
      <xdr:row>290</xdr:row>
      <xdr:rowOff>205738</xdr:rowOff>
    </xdr:to>
    <xdr:sp macro="" textlink="">
      <xdr:nvSpPr>
        <xdr:cNvPr id="1076" name="nuNumber: 1105" hidden="1">
          <a:extLst>
            <a:ext uri="{FF2B5EF4-FFF2-40B4-BE49-F238E27FC236}">
              <a16:creationId xmlns:a16="http://schemas.microsoft.com/office/drawing/2014/main" id="{7BC69D29-FB77-4613-BC39-DFBA93331F21}"/>
            </a:ext>
          </a:extLst>
        </xdr:cNvPr>
        <xdr:cNvSpPr/>
      </xdr:nvSpPr>
      <xdr:spPr bwMode="auto">
        <a:xfrm>
          <a:off x="8972550" y="6262623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290</xdr:row>
      <xdr:rowOff>142238</xdr:rowOff>
    </xdr:from>
    <xdr:to>
      <xdr:col>13</xdr:col>
      <xdr:colOff>63500</xdr:colOff>
      <xdr:row>290</xdr:row>
      <xdr:rowOff>205738</xdr:rowOff>
    </xdr:to>
    <xdr:sp macro="" textlink="">
      <xdr:nvSpPr>
        <xdr:cNvPr id="1077" name="nuNumber: 1106" hidden="1">
          <a:extLst>
            <a:ext uri="{FF2B5EF4-FFF2-40B4-BE49-F238E27FC236}">
              <a16:creationId xmlns:a16="http://schemas.microsoft.com/office/drawing/2014/main" id="{06EF4517-6C03-4165-917F-D76CFED88115}"/>
            </a:ext>
          </a:extLst>
        </xdr:cNvPr>
        <xdr:cNvSpPr/>
      </xdr:nvSpPr>
      <xdr:spPr bwMode="auto">
        <a:xfrm>
          <a:off x="9753600" y="6262623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290</xdr:row>
      <xdr:rowOff>142238</xdr:rowOff>
    </xdr:from>
    <xdr:to>
      <xdr:col>14</xdr:col>
      <xdr:colOff>63500</xdr:colOff>
      <xdr:row>290</xdr:row>
      <xdr:rowOff>205738</xdr:rowOff>
    </xdr:to>
    <xdr:sp macro="" textlink="">
      <xdr:nvSpPr>
        <xdr:cNvPr id="1078" name="nuNumber: 1107" hidden="1">
          <a:extLst>
            <a:ext uri="{FF2B5EF4-FFF2-40B4-BE49-F238E27FC236}">
              <a16:creationId xmlns:a16="http://schemas.microsoft.com/office/drawing/2014/main" id="{2A3C2C7D-790E-4948-BD41-D6EC858CFAF0}"/>
            </a:ext>
          </a:extLst>
        </xdr:cNvPr>
        <xdr:cNvSpPr/>
      </xdr:nvSpPr>
      <xdr:spPr bwMode="auto">
        <a:xfrm>
          <a:off x="10515600" y="6262623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290</xdr:row>
      <xdr:rowOff>142238</xdr:rowOff>
    </xdr:from>
    <xdr:to>
      <xdr:col>15</xdr:col>
      <xdr:colOff>63500</xdr:colOff>
      <xdr:row>290</xdr:row>
      <xdr:rowOff>205738</xdr:rowOff>
    </xdr:to>
    <xdr:sp macro="" textlink="">
      <xdr:nvSpPr>
        <xdr:cNvPr id="1079" name="nuNumber: 1108" hidden="1">
          <a:extLst>
            <a:ext uri="{FF2B5EF4-FFF2-40B4-BE49-F238E27FC236}">
              <a16:creationId xmlns:a16="http://schemas.microsoft.com/office/drawing/2014/main" id="{C2328310-9827-4181-9B94-EA9636599C60}"/>
            </a:ext>
          </a:extLst>
        </xdr:cNvPr>
        <xdr:cNvSpPr/>
      </xdr:nvSpPr>
      <xdr:spPr bwMode="auto">
        <a:xfrm>
          <a:off x="11325225" y="6262623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290</xdr:row>
      <xdr:rowOff>142238</xdr:rowOff>
    </xdr:from>
    <xdr:to>
      <xdr:col>16</xdr:col>
      <xdr:colOff>63500</xdr:colOff>
      <xdr:row>290</xdr:row>
      <xdr:rowOff>205738</xdr:rowOff>
    </xdr:to>
    <xdr:sp macro="" textlink="">
      <xdr:nvSpPr>
        <xdr:cNvPr id="1080" name="nuNumber: 1109" hidden="1">
          <a:extLst>
            <a:ext uri="{FF2B5EF4-FFF2-40B4-BE49-F238E27FC236}">
              <a16:creationId xmlns:a16="http://schemas.microsoft.com/office/drawing/2014/main" id="{1627869A-791C-4073-BB70-AF8A7ABCD3DB}"/>
            </a:ext>
          </a:extLst>
        </xdr:cNvPr>
        <xdr:cNvSpPr/>
      </xdr:nvSpPr>
      <xdr:spPr bwMode="auto">
        <a:xfrm>
          <a:off x="12106275" y="6262623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290</xdr:row>
      <xdr:rowOff>142238</xdr:rowOff>
    </xdr:from>
    <xdr:to>
      <xdr:col>17</xdr:col>
      <xdr:colOff>63500</xdr:colOff>
      <xdr:row>290</xdr:row>
      <xdr:rowOff>205738</xdr:rowOff>
    </xdr:to>
    <xdr:sp macro="" textlink="">
      <xdr:nvSpPr>
        <xdr:cNvPr id="1081" name="nuNumber: 1110" hidden="1">
          <a:extLst>
            <a:ext uri="{FF2B5EF4-FFF2-40B4-BE49-F238E27FC236}">
              <a16:creationId xmlns:a16="http://schemas.microsoft.com/office/drawing/2014/main" id="{75CB4449-58D6-47AF-BB93-D30BCA2E286C}"/>
            </a:ext>
          </a:extLst>
        </xdr:cNvPr>
        <xdr:cNvSpPr/>
      </xdr:nvSpPr>
      <xdr:spPr bwMode="auto">
        <a:xfrm>
          <a:off x="12887325" y="6262623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290</xdr:row>
      <xdr:rowOff>142238</xdr:rowOff>
    </xdr:from>
    <xdr:to>
      <xdr:col>18</xdr:col>
      <xdr:colOff>63499</xdr:colOff>
      <xdr:row>290</xdr:row>
      <xdr:rowOff>205738</xdr:rowOff>
    </xdr:to>
    <xdr:sp macro="" textlink="">
      <xdr:nvSpPr>
        <xdr:cNvPr id="1082" name="nuNumber: 1111" hidden="1">
          <a:extLst>
            <a:ext uri="{FF2B5EF4-FFF2-40B4-BE49-F238E27FC236}">
              <a16:creationId xmlns:a16="http://schemas.microsoft.com/office/drawing/2014/main" id="{D8A0D145-2D88-418C-83C2-7C768075FF96}"/>
            </a:ext>
          </a:extLst>
        </xdr:cNvPr>
        <xdr:cNvSpPr/>
      </xdr:nvSpPr>
      <xdr:spPr bwMode="auto">
        <a:xfrm>
          <a:off x="13624559" y="62626238"/>
          <a:ext cx="5969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290</xdr:row>
      <xdr:rowOff>142238</xdr:rowOff>
    </xdr:from>
    <xdr:to>
      <xdr:col>19</xdr:col>
      <xdr:colOff>63500</xdr:colOff>
      <xdr:row>290</xdr:row>
      <xdr:rowOff>205738</xdr:rowOff>
    </xdr:to>
    <xdr:sp macro="" textlink="">
      <xdr:nvSpPr>
        <xdr:cNvPr id="1083" name="nuNumber: 1112" hidden="1">
          <a:extLst>
            <a:ext uri="{FF2B5EF4-FFF2-40B4-BE49-F238E27FC236}">
              <a16:creationId xmlns:a16="http://schemas.microsoft.com/office/drawing/2014/main" id="{F3819B9F-322E-40E9-AAE0-6694C5036D0C}"/>
            </a:ext>
          </a:extLst>
        </xdr:cNvPr>
        <xdr:cNvSpPr/>
      </xdr:nvSpPr>
      <xdr:spPr bwMode="auto">
        <a:xfrm>
          <a:off x="14382750" y="6262623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290</xdr:row>
      <xdr:rowOff>142238</xdr:rowOff>
    </xdr:from>
    <xdr:to>
      <xdr:col>20</xdr:col>
      <xdr:colOff>63500</xdr:colOff>
      <xdr:row>290</xdr:row>
      <xdr:rowOff>205738</xdr:rowOff>
    </xdr:to>
    <xdr:sp macro="" textlink="">
      <xdr:nvSpPr>
        <xdr:cNvPr id="1084" name="nuNumber: 1113" hidden="1">
          <a:extLst>
            <a:ext uri="{FF2B5EF4-FFF2-40B4-BE49-F238E27FC236}">
              <a16:creationId xmlns:a16="http://schemas.microsoft.com/office/drawing/2014/main" id="{A03E908E-D55E-49FD-9D20-9FB6F1E818F7}"/>
            </a:ext>
          </a:extLst>
        </xdr:cNvPr>
        <xdr:cNvSpPr/>
      </xdr:nvSpPr>
      <xdr:spPr bwMode="auto">
        <a:xfrm>
          <a:off x="15135225" y="6262623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290</xdr:row>
      <xdr:rowOff>142238</xdr:rowOff>
    </xdr:from>
    <xdr:to>
      <xdr:col>21</xdr:col>
      <xdr:colOff>63500</xdr:colOff>
      <xdr:row>290</xdr:row>
      <xdr:rowOff>205738</xdr:rowOff>
    </xdr:to>
    <xdr:sp macro="" textlink="">
      <xdr:nvSpPr>
        <xdr:cNvPr id="1085" name="nuNumber: 1114" hidden="1">
          <a:extLst>
            <a:ext uri="{FF2B5EF4-FFF2-40B4-BE49-F238E27FC236}">
              <a16:creationId xmlns:a16="http://schemas.microsoft.com/office/drawing/2014/main" id="{549C3D0B-70AF-4E44-8D58-D5C378E6564F}"/>
            </a:ext>
          </a:extLst>
        </xdr:cNvPr>
        <xdr:cNvSpPr/>
      </xdr:nvSpPr>
      <xdr:spPr bwMode="auto">
        <a:xfrm>
          <a:off x="15849600" y="6262623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290</xdr:row>
      <xdr:rowOff>142238</xdr:rowOff>
    </xdr:from>
    <xdr:to>
      <xdr:col>30</xdr:col>
      <xdr:colOff>63499</xdr:colOff>
      <xdr:row>290</xdr:row>
      <xdr:rowOff>205738</xdr:rowOff>
    </xdr:to>
    <xdr:sp macro="" textlink="">
      <xdr:nvSpPr>
        <xdr:cNvPr id="1086" name="nuNumber: 1115" hidden="1">
          <a:extLst>
            <a:ext uri="{FF2B5EF4-FFF2-40B4-BE49-F238E27FC236}">
              <a16:creationId xmlns:a16="http://schemas.microsoft.com/office/drawing/2014/main" id="{DA857E39-B9BD-45B8-BBC4-B6F284FA5007}"/>
            </a:ext>
          </a:extLst>
        </xdr:cNvPr>
        <xdr:cNvSpPr/>
      </xdr:nvSpPr>
      <xdr:spPr bwMode="auto">
        <a:xfrm>
          <a:off x="22242779" y="62626238"/>
          <a:ext cx="61595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290</xdr:row>
      <xdr:rowOff>142238</xdr:rowOff>
    </xdr:from>
    <xdr:to>
      <xdr:col>31</xdr:col>
      <xdr:colOff>63500</xdr:colOff>
      <xdr:row>290</xdr:row>
      <xdr:rowOff>205738</xdr:rowOff>
    </xdr:to>
    <xdr:sp macro="" textlink="">
      <xdr:nvSpPr>
        <xdr:cNvPr id="1087" name="nuNumber: 1116" hidden="1">
          <a:extLst>
            <a:ext uri="{FF2B5EF4-FFF2-40B4-BE49-F238E27FC236}">
              <a16:creationId xmlns:a16="http://schemas.microsoft.com/office/drawing/2014/main" id="{B8027EA7-E1CF-4701-BC11-BE22C2ECE9C1}"/>
            </a:ext>
          </a:extLst>
        </xdr:cNvPr>
        <xdr:cNvSpPr/>
      </xdr:nvSpPr>
      <xdr:spPr bwMode="auto">
        <a:xfrm>
          <a:off x="23383875" y="6262623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291</xdr:row>
      <xdr:rowOff>119382</xdr:rowOff>
    </xdr:from>
    <xdr:to>
      <xdr:col>10</xdr:col>
      <xdr:colOff>63500</xdr:colOff>
      <xdr:row>292</xdr:row>
      <xdr:rowOff>2</xdr:rowOff>
    </xdr:to>
    <xdr:sp macro="" textlink="">
      <xdr:nvSpPr>
        <xdr:cNvPr id="1088" name="nuNumber: 1117" hidden="1">
          <a:extLst>
            <a:ext uri="{FF2B5EF4-FFF2-40B4-BE49-F238E27FC236}">
              <a16:creationId xmlns:a16="http://schemas.microsoft.com/office/drawing/2014/main" id="{1E48F5F3-24FC-4DA8-9D37-22EFDD98C2FC}"/>
            </a:ext>
          </a:extLst>
        </xdr:cNvPr>
        <xdr:cNvSpPr/>
      </xdr:nvSpPr>
      <xdr:spPr bwMode="auto">
        <a:xfrm>
          <a:off x="7315200" y="628129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291</xdr:row>
      <xdr:rowOff>119382</xdr:rowOff>
    </xdr:from>
    <xdr:to>
      <xdr:col>11</xdr:col>
      <xdr:colOff>63500</xdr:colOff>
      <xdr:row>292</xdr:row>
      <xdr:rowOff>2</xdr:rowOff>
    </xdr:to>
    <xdr:sp macro="" textlink="">
      <xdr:nvSpPr>
        <xdr:cNvPr id="1089" name="nuNumber: 1118" hidden="1">
          <a:extLst>
            <a:ext uri="{FF2B5EF4-FFF2-40B4-BE49-F238E27FC236}">
              <a16:creationId xmlns:a16="http://schemas.microsoft.com/office/drawing/2014/main" id="{7BB64E2C-0FE9-4B47-A40B-4D1D2B50C4DD}"/>
            </a:ext>
          </a:extLst>
        </xdr:cNvPr>
        <xdr:cNvSpPr/>
      </xdr:nvSpPr>
      <xdr:spPr bwMode="auto">
        <a:xfrm>
          <a:off x="8105775" y="628129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291</xdr:row>
      <xdr:rowOff>119382</xdr:rowOff>
    </xdr:from>
    <xdr:to>
      <xdr:col>12</xdr:col>
      <xdr:colOff>63500</xdr:colOff>
      <xdr:row>292</xdr:row>
      <xdr:rowOff>2</xdr:rowOff>
    </xdr:to>
    <xdr:sp macro="" textlink="">
      <xdr:nvSpPr>
        <xdr:cNvPr id="1090" name="nuNumber: 1119" hidden="1">
          <a:extLst>
            <a:ext uri="{FF2B5EF4-FFF2-40B4-BE49-F238E27FC236}">
              <a16:creationId xmlns:a16="http://schemas.microsoft.com/office/drawing/2014/main" id="{DDE25458-FF39-44C7-989B-E6837EDD4B1E}"/>
            </a:ext>
          </a:extLst>
        </xdr:cNvPr>
        <xdr:cNvSpPr/>
      </xdr:nvSpPr>
      <xdr:spPr bwMode="auto">
        <a:xfrm>
          <a:off x="8972550" y="628129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291</xdr:row>
      <xdr:rowOff>119382</xdr:rowOff>
    </xdr:from>
    <xdr:to>
      <xdr:col>13</xdr:col>
      <xdr:colOff>63500</xdr:colOff>
      <xdr:row>292</xdr:row>
      <xdr:rowOff>2</xdr:rowOff>
    </xdr:to>
    <xdr:sp macro="" textlink="">
      <xdr:nvSpPr>
        <xdr:cNvPr id="1091" name="nuNumber: 1120" hidden="1">
          <a:extLst>
            <a:ext uri="{FF2B5EF4-FFF2-40B4-BE49-F238E27FC236}">
              <a16:creationId xmlns:a16="http://schemas.microsoft.com/office/drawing/2014/main" id="{781149BE-CB40-4CA3-86EE-7B9A762ADB37}"/>
            </a:ext>
          </a:extLst>
        </xdr:cNvPr>
        <xdr:cNvSpPr/>
      </xdr:nvSpPr>
      <xdr:spPr bwMode="auto">
        <a:xfrm>
          <a:off x="9753600" y="628129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291</xdr:row>
      <xdr:rowOff>119382</xdr:rowOff>
    </xdr:from>
    <xdr:to>
      <xdr:col>14</xdr:col>
      <xdr:colOff>63500</xdr:colOff>
      <xdr:row>292</xdr:row>
      <xdr:rowOff>2</xdr:rowOff>
    </xdr:to>
    <xdr:sp macro="" textlink="">
      <xdr:nvSpPr>
        <xdr:cNvPr id="1092" name="nuNumber: 1121" hidden="1">
          <a:extLst>
            <a:ext uri="{FF2B5EF4-FFF2-40B4-BE49-F238E27FC236}">
              <a16:creationId xmlns:a16="http://schemas.microsoft.com/office/drawing/2014/main" id="{8AACF601-5DB3-4C5B-B659-1F92E30C426B}"/>
            </a:ext>
          </a:extLst>
        </xdr:cNvPr>
        <xdr:cNvSpPr/>
      </xdr:nvSpPr>
      <xdr:spPr bwMode="auto">
        <a:xfrm>
          <a:off x="10515600" y="628129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291</xdr:row>
      <xdr:rowOff>119382</xdr:rowOff>
    </xdr:from>
    <xdr:to>
      <xdr:col>15</xdr:col>
      <xdr:colOff>63500</xdr:colOff>
      <xdr:row>292</xdr:row>
      <xdr:rowOff>2</xdr:rowOff>
    </xdr:to>
    <xdr:sp macro="" textlink="">
      <xdr:nvSpPr>
        <xdr:cNvPr id="1093" name="nuNumber: 1122" hidden="1">
          <a:extLst>
            <a:ext uri="{FF2B5EF4-FFF2-40B4-BE49-F238E27FC236}">
              <a16:creationId xmlns:a16="http://schemas.microsoft.com/office/drawing/2014/main" id="{D0FB7796-8DF9-4247-8DD8-E0409477E6D6}"/>
            </a:ext>
          </a:extLst>
        </xdr:cNvPr>
        <xdr:cNvSpPr/>
      </xdr:nvSpPr>
      <xdr:spPr bwMode="auto">
        <a:xfrm>
          <a:off x="11325225" y="628129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291</xdr:row>
      <xdr:rowOff>119382</xdr:rowOff>
    </xdr:from>
    <xdr:to>
      <xdr:col>16</xdr:col>
      <xdr:colOff>63500</xdr:colOff>
      <xdr:row>292</xdr:row>
      <xdr:rowOff>2</xdr:rowOff>
    </xdr:to>
    <xdr:sp macro="" textlink="">
      <xdr:nvSpPr>
        <xdr:cNvPr id="1094" name="nuNumber: 1123" hidden="1">
          <a:extLst>
            <a:ext uri="{FF2B5EF4-FFF2-40B4-BE49-F238E27FC236}">
              <a16:creationId xmlns:a16="http://schemas.microsoft.com/office/drawing/2014/main" id="{43354064-83AC-4C9B-8827-393446DB2E07}"/>
            </a:ext>
          </a:extLst>
        </xdr:cNvPr>
        <xdr:cNvSpPr/>
      </xdr:nvSpPr>
      <xdr:spPr bwMode="auto">
        <a:xfrm>
          <a:off x="12106275" y="628129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291</xdr:row>
      <xdr:rowOff>119382</xdr:rowOff>
    </xdr:from>
    <xdr:to>
      <xdr:col>17</xdr:col>
      <xdr:colOff>63500</xdr:colOff>
      <xdr:row>292</xdr:row>
      <xdr:rowOff>2</xdr:rowOff>
    </xdr:to>
    <xdr:sp macro="" textlink="">
      <xdr:nvSpPr>
        <xdr:cNvPr id="1095" name="nuNumber: 1124" hidden="1">
          <a:extLst>
            <a:ext uri="{FF2B5EF4-FFF2-40B4-BE49-F238E27FC236}">
              <a16:creationId xmlns:a16="http://schemas.microsoft.com/office/drawing/2014/main" id="{457DE557-0218-4081-96C1-BE073E1636CC}"/>
            </a:ext>
          </a:extLst>
        </xdr:cNvPr>
        <xdr:cNvSpPr/>
      </xdr:nvSpPr>
      <xdr:spPr bwMode="auto">
        <a:xfrm>
          <a:off x="12887325" y="628129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291</xdr:row>
      <xdr:rowOff>119382</xdr:rowOff>
    </xdr:from>
    <xdr:to>
      <xdr:col>18</xdr:col>
      <xdr:colOff>63499</xdr:colOff>
      <xdr:row>292</xdr:row>
      <xdr:rowOff>2</xdr:rowOff>
    </xdr:to>
    <xdr:sp macro="" textlink="">
      <xdr:nvSpPr>
        <xdr:cNvPr id="1096" name="nuNumber: 1125" hidden="1">
          <a:extLst>
            <a:ext uri="{FF2B5EF4-FFF2-40B4-BE49-F238E27FC236}">
              <a16:creationId xmlns:a16="http://schemas.microsoft.com/office/drawing/2014/main" id="{9E7022BB-F8E6-45BC-B02F-D7F8C4F76376}"/>
            </a:ext>
          </a:extLst>
        </xdr:cNvPr>
        <xdr:cNvSpPr/>
      </xdr:nvSpPr>
      <xdr:spPr bwMode="auto">
        <a:xfrm>
          <a:off x="13624559" y="62812932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291</xdr:row>
      <xdr:rowOff>119382</xdr:rowOff>
    </xdr:from>
    <xdr:to>
      <xdr:col>19</xdr:col>
      <xdr:colOff>63500</xdr:colOff>
      <xdr:row>292</xdr:row>
      <xdr:rowOff>2</xdr:rowOff>
    </xdr:to>
    <xdr:sp macro="" textlink="">
      <xdr:nvSpPr>
        <xdr:cNvPr id="1097" name="nuNumber: 1126" hidden="1">
          <a:extLst>
            <a:ext uri="{FF2B5EF4-FFF2-40B4-BE49-F238E27FC236}">
              <a16:creationId xmlns:a16="http://schemas.microsoft.com/office/drawing/2014/main" id="{B89E193C-32CC-44CE-AE35-2403897A041D}"/>
            </a:ext>
          </a:extLst>
        </xdr:cNvPr>
        <xdr:cNvSpPr/>
      </xdr:nvSpPr>
      <xdr:spPr bwMode="auto">
        <a:xfrm>
          <a:off x="14382750" y="628129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291</xdr:row>
      <xdr:rowOff>119382</xdr:rowOff>
    </xdr:from>
    <xdr:to>
      <xdr:col>20</xdr:col>
      <xdr:colOff>63500</xdr:colOff>
      <xdr:row>292</xdr:row>
      <xdr:rowOff>2</xdr:rowOff>
    </xdr:to>
    <xdr:sp macro="" textlink="">
      <xdr:nvSpPr>
        <xdr:cNvPr id="1098" name="nuNumber: 1127" hidden="1">
          <a:extLst>
            <a:ext uri="{FF2B5EF4-FFF2-40B4-BE49-F238E27FC236}">
              <a16:creationId xmlns:a16="http://schemas.microsoft.com/office/drawing/2014/main" id="{9F4C1EAD-E21D-46E7-B13A-6220AE47F16C}"/>
            </a:ext>
          </a:extLst>
        </xdr:cNvPr>
        <xdr:cNvSpPr/>
      </xdr:nvSpPr>
      <xdr:spPr bwMode="auto">
        <a:xfrm>
          <a:off x="15135225" y="628129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291</xdr:row>
      <xdr:rowOff>119382</xdr:rowOff>
    </xdr:from>
    <xdr:to>
      <xdr:col>21</xdr:col>
      <xdr:colOff>63500</xdr:colOff>
      <xdr:row>292</xdr:row>
      <xdr:rowOff>2</xdr:rowOff>
    </xdr:to>
    <xdr:sp macro="" textlink="">
      <xdr:nvSpPr>
        <xdr:cNvPr id="1099" name="nuNumber: 1128" hidden="1">
          <a:extLst>
            <a:ext uri="{FF2B5EF4-FFF2-40B4-BE49-F238E27FC236}">
              <a16:creationId xmlns:a16="http://schemas.microsoft.com/office/drawing/2014/main" id="{2932D616-C639-4A41-AB0B-B7C15BF36BE0}"/>
            </a:ext>
          </a:extLst>
        </xdr:cNvPr>
        <xdr:cNvSpPr/>
      </xdr:nvSpPr>
      <xdr:spPr bwMode="auto">
        <a:xfrm>
          <a:off x="15849600" y="628129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291</xdr:row>
      <xdr:rowOff>119382</xdr:rowOff>
    </xdr:from>
    <xdr:to>
      <xdr:col>30</xdr:col>
      <xdr:colOff>63499</xdr:colOff>
      <xdr:row>292</xdr:row>
      <xdr:rowOff>2</xdr:rowOff>
    </xdr:to>
    <xdr:sp macro="" textlink="">
      <xdr:nvSpPr>
        <xdr:cNvPr id="1100" name="nuNumber: 1129" hidden="1">
          <a:extLst>
            <a:ext uri="{FF2B5EF4-FFF2-40B4-BE49-F238E27FC236}">
              <a16:creationId xmlns:a16="http://schemas.microsoft.com/office/drawing/2014/main" id="{D7CBCD5E-489C-448E-9370-2DD6D9E6BD15}"/>
            </a:ext>
          </a:extLst>
        </xdr:cNvPr>
        <xdr:cNvSpPr/>
      </xdr:nvSpPr>
      <xdr:spPr bwMode="auto">
        <a:xfrm>
          <a:off x="22242779" y="62812932"/>
          <a:ext cx="61595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291</xdr:row>
      <xdr:rowOff>119382</xdr:rowOff>
    </xdr:from>
    <xdr:to>
      <xdr:col>31</xdr:col>
      <xdr:colOff>63500</xdr:colOff>
      <xdr:row>292</xdr:row>
      <xdr:rowOff>2</xdr:rowOff>
    </xdr:to>
    <xdr:sp macro="" textlink="">
      <xdr:nvSpPr>
        <xdr:cNvPr id="1101" name="nuNumber: 1130" hidden="1">
          <a:extLst>
            <a:ext uri="{FF2B5EF4-FFF2-40B4-BE49-F238E27FC236}">
              <a16:creationId xmlns:a16="http://schemas.microsoft.com/office/drawing/2014/main" id="{1622C664-09E7-47BD-BC1C-F969247DF3EB}"/>
            </a:ext>
          </a:extLst>
        </xdr:cNvPr>
        <xdr:cNvSpPr/>
      </xdr:nvSpPr>
      <xdr:spPr bwMode="auto">
        <a:xfrm>
          <a:off x="23383875" y="628129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303</xdr:row>
      <xdr:rowOff>119379</xdr:rowOff>
    </xdr:from>
    <xdr:to>
      <xdr:col>30</xdr:col>
      <xdr:colOff>63499</xdr:colOff>
      <xdr:row>303</xdr:row>
      <xdr:rowOff>182879</xdr:rowOff>
    </xdr:to>
    <xdr:sp macro="" textlink="">
      <xdr:nvSpPr>
        <xdr:cNvPr id="1102" name="nuNumber: 1131" hidden="1">
          <a:extLst>
            <a:ext uri="{FF2B5EF4-FFF2-40B4-BE49-F238E27FC236}">
              <a16:creationId xmlns:a16="http://schemas.microsoft.com/office/drawing/2014/main" id="{3E56FDF8-7C44-4E92-9188-64E0F8F34658}"/>
            </a:ext>
          </a:extLst>
        </xdr:cNvPr>
        <xdr:cNvSpPr/>
      </xdr:nvSpPr>
      <xdr:spPr bwMode="auto">
        <a:xfrm>
          <a:off x="22242779" y="65327529"/>
          <a:ext cx="61595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303</xdr:row>
      <xdr:rowOff>119379</xdr:rowOff>
    </xdr:from>
    <xdr:to>
      <xdr:col>31</xdr:col>
      <xdr:colOff>63500</xdr:colOff>
      <xdr:row>303</xdr:row>
      <xdr:rowOff>182879</xdr:rowOff>
    </xdr:to>
    <xdr:sp macro="" textlink="">
      <xdr:nvSpPr>
        <xdr:cNvPr id="1103" name="nuNumber: 1132" hidden="1">
          <a:extLst>
            <a:ext uri="{FF2B5EF4-FFF2-40B4-BE49-F238E27FC236}">
              <a16:creationId xmlns:a16="http://schemas.microsoft.com/office/drawing/2014/main" id="{91A71680-374B-47EE-9EF3-C8C62578E4DB}"/>
            </a:ext>
          </a:extLst>
        </xdr:cNvPr>
        <xdr:cNvSpPr/>
      </xdr:nvSpPr>
      <xdr:spPr bwMode="auto">
        <a:xfrm>
          <a:off x="23383875" y="6532752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306</xdr:row>
      <xdr:rowOff>119381</xdr:rowOff>
    </xdr:from>
    <xdr:to>
      <xdr:col>30</xdr:col>
      <xdr:colOff>63499</xdr:colOff>
      <xdr:row>307</xdr:row>
      <xdr:rowOff>1</xdr:rowOff>
    </xdr:to>
    <xdr:sp macro="" textlink="">
      <xdr:nvSpPr>
        <xdr:cNvPr id="1104" name="nuNumber: 1133" hidden="1">
          <a:extLst>
            <a:ext uri="{FF2B5EF4-FFF2-40B4-BE49-F238E27FC236}">
              <a16:creationId xmlns:a16="http://schemas.microsoft.com/office/drawing/2014/main" id="{3639A105-5D09-4FAE-A30E-2354FC65AAD8}"/>
            </a:ext>
          </a:extLst>
        </xdr:cNvPr>
        <xdr:cNvSpPr/>
      </xdr:nvSpPr>
      <xdr:spPr bwMode="auto">
        <a:xfrm>
          <a:off x="22242779" y="65956181"/>
          <a:ext cx="61595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306</xdr:row>
      <xdr:rowOff>119381</xdr:rowOff>
    </xdr:from>
    <xdr:to>
      <xdr:col>31</xdr:col>
      <xdr:colOff>63500</xdr:colOff>
      <xdr:row>307</xdr:row>
      <xdr:rowOff>1</xdr:rowOff>
    </xdr:to>
    <xdr:sp macro="" textlink="">
      <xdr:nvSpPr>
        <xdr:cNvPr id="1105" name="nuNumber: 1134" hidden="1">
          <a:extLst>
            <a:ext uri="{FF2B5EF4-FFF2-40B4-BE49-F238E27FC236}">
              <a16:creationId xmlns:a16="http://schemas.microsoft.com/office/drawing/2014/main" id="{8915B233-4422-4366-8C77-0F90947058FC}"/>
            </a:ext>
          </a:extLst>
        </xdr:cNvPr>
        <xdr:cNvSpPr/>
      </xdr:nvSpPr>
      <xdr:spPr bwMode="auto">
        <a:xfrm>
          <a:off x="23383875" y="659561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307</xdr:row>
      <xdr:rowOff>119380</xdr:rowOff>
    </xdr:from>
    <xdr:to>
      <xdr:col>6</xdr:col>
      <xdr:colOff>63500</xdr:colOff>
      <xdr:row>308</xdr:row>
      <xdr:rowOff>0</xdr:rowOff>
    </xdr:to>
    <xdr:sp macro="" textlink="">
      <xdr:nvSpPr>
        <xdr:cNvPr id="1106" name="nuNumber: 1135" hidden="1">
          <a:extLst>
            <a:ext uri="{FF2B5EF4-FFF2-40B4-BE49-F238E27FC236}">
              <a16:creationId xmlns:a16="http://schemas.microsoft.com/office/drawing/2014/main" id="{C288BF12-AFE0-432A-A1C8-F3C0A2C05EED}"/>
            </a:ext>
          </a:extLst>
        </xdr:cNvPr>
        <xdr:cNvSpPr/>
      </xdr:nvSpPr>
      <xdr:spPr bwMode="auto">
        <a:xfrm>
          <a:off x="3800475" y="66165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307</xdr:row>
      <xdr:rowOff>119380</xdr:rowOff>
    </xdr:from>
    <xdr:to>
      <xdr:col>8</xdr:col>
      <xdr:colOff>63500</xdr:colOff>
      <xdr:row>308</xdr:row>
      <xdr:rowOff>0</xdr:rowOff>
    </xdr:to>
    <xdr:sp macro="" textlink="">
      <xdr:nvSpPr>
        <xdr:cNvPr id="1107" name="nuNumber: 1136" hidden="1">
          <a:extLst>
            <a:ext uri="{FF2B5EF4-FFF2-40B4-BE49-F238E27FC236}">
              <a16:creationId xmlns:a16="http://schemas.microsoft.com/office/drawing/2014/main" id="{4E195CB3-5B0B-4D00-BB5A-1DEE58AC9B66}"/>
            </a:ext>
          </a:extLst>
        </xdr:cNvPr>
        <xdr:cNvSpPr/>
      </xdr:nvSpPr>
      <xdr:spPr bwMode="auto">
        <a:xfrm>
          <a:off x="5562600" y="66165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307</xdr:row>
      <xdr:rowOff>119380</xdr:rowOff>
    </xdr:from>
    <xdr:to>
      <xdr:col>9</xdr:col>
      <xdr:colOff>63500</xdr:colOff>
      <xdr:row>308</xdr:row>
      <xdr:rowOff>0</xdr:rowOff>
    </xdr:to>
    <xdr:sp macro="" textlink="">
      <xdr:nvSpPr>
        <xdr:cNvPr id="1108" name="nuNumber: 1137" hidden="1">
          <a:extLst>
            <a:ext uri="{FF2B5EF4-FFF2-40B4-BE49-F238E27FC236}">
              <a16:creationId xmlns:a16="http://schemas.microsoft.com/office/drawing/2014/main" id="{1BD37E6A-FF12-460C-8B2F-942C01B400F1}"/>
            </a:ext>
          </a:extLst>
        </xdr:cNvPr>
        <xdr:cNvSpPr/>
      </xdr:nvSpPr>
      <xdr:spPr bwMode="auto">
        <a:xfrm>
          <a:off x="6467475" y="66165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307</xdr:row>
      <xdr:rowOff>119380</xdr:rowOff>
    </xdr:from>
    <xdr:to>
      <xdr:col>9</xdr:col>
      <xdr:colOff>63500</xdr:colOff>
      <xdr:row>308</xdr:row>
      <xdr:rowOff>0</xdr:rowOff>
    </xdr:to>
    <xdr:sp macro="" textlink="">
      <xdr:nvSpPr>
        <xdr:cNvPr id="1109" name="nuNumber: 1138" hidden="1">
          <a:extLst>
            <a:ext uri="{FF2B5EF4-FFF2-40B4-BE49-F238E27FC236}">
              <a16:creationId xmlns:a16="http://schemas.microsoft.com/office/drawing/2014/main" id="{A795071E-A03F-4FE2-B374-A4B38A5EBF50}"/>
            </a:ext>
          </a:extLst>
        </xdr:cNvPr>
        <xdr:cNvSpPr/>
      </xdr:nvSpPr>
      <xdr:spPr bwMode="auto">
        <a:xfrm>
          <a:off x="6467475" y="66165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307</xdr:row>
      <xdr:rowOff>119380</xdr:rowOff>
    </xdr:from>
    <xdr:to>
      <xdr:col>10</xdr:col>
      <xdr:colOff>63500</xdr:colOff>
      <xdr:row>308</xdr:row>
      <xdr:rowOff>0</xdr:rowOff>
    </xdr:to>
    <xdr:sp macro="" textlink="">
      <xdr:nvSpPr>
        <xdr:cNvPr id="1110" name="nuNumber: 1139" hidden="1">
          <a:extLst>
            <a:ext uri="{FF2B5EF4-FFF2-40B4-BE49-F238E27FC236}">
              <a16:creationId xmlns:a16="http://schemas.microsoft.com/office/drawing/2014/main" id="{396C6312-67B3-4785-880C-529EB98E1304}"/>
            </a:ext>
          </a:extLst>
        </xdr:cNvPr>
        <xdr:cNvSpPr/>
      </xdr:nvSpPr>
      <xdr:spPr bwMode="auto">
        <a:xfrm>
          <a:off x="7315200" y="66165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307</xdr:row>
      <xdr:rowOff>119380</xdr:rowOff>
    </xdr:from>
    <xdr:to>
      <xdr:col>11</xdr:col>
      <xdr:colOff>63500</xdr:colOff>
      <xdr:row>308</xdr:row>
      <xdr:rowOff>0</xdr:rowOff>
    </xdr:to>
    <xdr:sp macro="" textlink="">
      <xdr:nvSpPr>
        <xdr:cNvPr id="1111" name="nuNumber: 1140" hidden="1">
          <a:extLst>
            <a:ext uri="{FF2B5EF4-FFF2-40B4-BE49-F238E27FC236}">
              <a16:creationId xmlns:a16="http://schemas.microsoft.com/office/drawing/2014/main" id="{A8B110F7-8400-4056-B2CB-889AF73CDAFF}"/>
            </a:ext>
          </a:extLst>
        </xdr:cNvPr>
        <xdr:cNvSpPr/>
      </xdr:nvSpPr>
      <xdr:spPr bwMode="auto">
        <a:xfrm>
          <a:off x="8105775" y="66165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307</xdr:row>
      <xdr:rowOff>119380</xdr:rowOff>
    </xdr:from>
    <xdr:to>
      <xdr:col>12</xdr:col>
      <xdr:colOff>63500</xdr:colOff>
      <xdr:row>308</xdr:row>
      <xdr:rowOff>0</xdr:rowOff>
    </xdr:to>
    <xdr:sp macro="" textlink="">
      <xdr:nvSpPr>
        <xdr:cNvPr id="1112" name="nuNumber: 1141" hidden="1">
          <a:extLst>
            <a:ext uri="{FF2B5EF4-FFF2-40B4-BE49-F238E27FC236}">
              <a16:creationId xmlns:a16="http://schemas.microsoft.com/office/drawing/2014/main" id="{59F2CAC2-7E53-4D1B-AC4F-45B67BA053F6}"/>
            </a:ext>
          </a:extLst>
        </xdr:cNvPr>
        <xdr:cNvSpPr/>
      </xdr:nvSpPr>
      <xdr:spPr bwMode="auto">
        <a:xfrm>
          <a:off x="8972550" y="66165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307</xdr:row>
      <xdr:rowOff>119380</xdr:rowOff>
    </xdr:from>
    <xdr:to>
      <xdr:col>13</xdr:col>
      <xdr:colOff>63500</xdr:colOff>
      <xdr:row>308</xdr:row>
      <xdr:rowOff>0</xdr:rowOff>
    </xdr:to>
    <xdr:sp macro="" textlink="">
      <xdr:nvSpPr>
        <xdr:cNvPr id="1113" name="nuNumber: 1142" hidden="1">
          <a:extLst>
            <a:ext uri="{FF2B5EF4-FFF2-40B4-BE49-F238E27FC236}">
              <a16:creationId xmlns:a16="http://schemas.microsoft.com/office/drawing/2014/main" id="{2805771A-8A20-4FA8-874A-0657C12324ED}"/>
            </a:ext>
          </a:extLst>
        </xdr:cNvPr>
        <xdr:cNvSpPr/>
      </xdr:nvSpPr>
      <xdr:spPr bwMode="auto">
        <a:xfrm>
          <a:off x="9753600" y="66165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307</xdr:row>
      <xdr:rowOff>119380</xdr:rowOff>
    </xdr:from>
    <xdr:to>
      <xdr:col>14</xdr:col>
      <xdr:colOff>63500</xdr:colOff>
      <xdr:row>308</xdr:row>
      <xdr:rowOff>0</xdr:rowOff>
    </xdr:to>
    <xdr:sp macro="" textlink="">
      <xdr:nvSpPr>
        <xdr:cNvPr id="1114" name="nuNumber: 1143" hidden="1">
          <a:extLst>
            <a:ext uri="{FF2B5EF4-FFF2-40B4-BE49-F238E27FC236}">
              <a16:creationId xmlns:a16="http://schemas.microsoft.com/office/drawing/2014/main" id="{8184E5F3-830D-4378-AFF3-47B906F9AEE2}"/>
            </a:ext>
          </a:extLst>
        </xdr:cNvPr>
        <xdr:cNvSpPr/>
      </xdr:nvSpPr>
      <xdr:spPr bwMode="auto">
        <a:xfrm>
          <a:off x="10515600" y="66165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307</xdr:row>
      <xdr:rowOff>119380</xdr:rowOff>
    </xdr:from>
    <xdr:to>
      <xdr:col>15</xdr:col>
      <xdr:colOff>63500</xdr:colOff>
      <xdr:row>308</xdr:row>
      <xdr:rowOff>0</xdr:rowOff>
    </xdr:to>
    <xdr:sp macro="" textlink="">
      <xdr:nvSpPr>
        <xdr:cNvPr id="1115" name="nuNumber: 1144" hidden="1">
          <a:extLst>
            <a:ext uri="{FF2B5EF4-FFF2-40B4-BE49-F238E27FC236}">
              <a16:creationId xmlns:a16="http://schemas.microsoft.com/office/drawing/2014/main" id="{136B344E-5DE7-40DB-AFDC-580E30D6E981}"/>
            </a:ext>
          </a:extLst>
        </xdr:cNvPr>
        <xdr:cNvSpPr/>
      </xdr:nvSpPr>
      <xdr:spPr bwMode="auto">
        <a:xfrm>
          <a:off x="11325225" y="66165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307</xdr:row>
      <xdr:rowOff>119380</xdr:rowOff>
    </xdr:from>
    <xdr:to>
      <xdr:col>16</xdr:col>
      <xdr:colOff>63500</xdr:colOff>
      <xdr:row>308</xdr:row>
      <xdr:rowOff>0</xdr:rowOff>
    </xdr:to>
    <xdr:sp macro="" textlink="">
      <xdr:nvSpPr>
        <xdr:cNvPr id="1116" name="nuNumber: 1145" hidden="1">
          <a:extLst>
            <a:ext uri="{FF2B5EF4-FFF2-40B4-BE49-F238E27FC236}">
              <a16:creationId xmlns:a16="http://schemas.microsoft.com/office/drawing/2014/main" id="{810D3011-C84B-4E33-9DDA-857F493C3E69}"/>
            </a:ext>
          </a:extLst>
        </xdr:cNvPr>
        <xdr:cNvSpPr/>
      </xdr:nvSpPr>
      <xdr:spPr bwMode="auto">
        <a:xfrm>
          <a:off x="12106275" y="66165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307</xdr:row>
      <xdr:rowOff>119380</xdr:rowOff>
    </xdr:from>
    <xdr:to>
      <xdr:col>17</xdr:col>
      <xdr:colOff>63500</xdr:colOff>
      <xdr:row>308</xdr:row>
      <xdr:rowOff>0</xdr:rowOff>
    </xdr:to>
    <xdr:sp macro="" textlink="">
      <xdr:nvSpPr>
        <xdr:cNvPr id="1117" name="nuNumber: 1146" hidden="1">
          <a:extLst>
            <a:ext uri="{FF2B5EF4-FFF2-40B4-BE49-F238E27FC236}">
              <a16:creationId xmlns:a16="http://schemas.microsoft.com/office/drawing/2014/main" id="{4481F6D9-4C21-4F5E-BBF1-E4211C9F0D55}"/>
            </a:ext>
          </a:extLst>
        </xdr:cNvPr>
        <xdr:cNvSpPr/>
      </xdr:nvSpPr>
      <xdr:spPr bwMode="auto">
        <a:xfrm>
          <a:off x="12887325" y="66165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307</xdr:row>
      <xdr:rowOff>119380</xdr:rowOff>
    </xdr:from>
    <xdr:to>
      <xdr:col>18</xdr:col>
      <xdr:colOff>63499</xdr:colOff>
      <xdr:row>308</xdr:row>
      <xdr:rowOff>0</xdr:rowOff>
    </xdr:to>
    <xdr:sp macro="" textlink="">
      <xdr:nvSpPr>
        <xdr:cNvPr id="1118" name="nuNumber: 1147" hidden="1">
          <a:extLst>
            <a:ext uri="{FF2B5EF4-FFF2-40B4-BE49-F238E27FC236}">
              <a16:creationId xmlns:a16="http://schemas.microsoft.com/office/drawing/2014/main" id="{2DBED812-9B74-40BD-91E6-B3080F008357}"/>
            </a:ext>
          </a:extLst>
        </xdr:cNvPr>
        <xdr:cNvSpPr/>
      </xdr:nvSpPr>
      <xdr:spPr bwMode="auto">
        <a:xfrm>
          <a:off x="13624559" y="6616573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307</xdr:row>
      <xdr:rowOff>119380</xdr:rowOff>
    </xdr:from>
    <xdr:to>
      <xdr:col>19</xdr:col>
      <xdr:colOff>63500</xdr:colOff>
      <xdr:row>308</xdr:row>
      <xdr:rowOff>0</xdr:rowOff>
    </xdr:to>
    <xdr:sp macro="" textlink="">
      <xdr:nvSpPr>
        <xdr:cNvPr id="1119" name="nuNumber: 1148" hidden="1">
          <a:extLst>
            <a:ext uri="{FF2B5EF4-FFF2-40B4-BE49-F238E27FC236}">
              <a16:creationId xmlns:a16="http://schemas.microsoft.com/office/drawing/2014/main" id="{537A1E1A-813E-4A41-B5F5-8143C91085BA}"/>
            </a:ext>
          </a:extLst>
        </xdr:cNvPr>
        <xdr:cNvSpPr/>
      </xdr:nvSpPr>
      <xdr:spPr bwMode="auto">
        <a:xfrm>
          <a:off x="14382750" y="66165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307</xdr:row>
      <xdr:rowOff>119380</xdr:rowOff>
    </xdr:from>
    <xdr:to>
      <xdr:col>20</xdr:col>
      <xdr:colOff>63500</xdr:colOff>
      <xdr:row>308</xdr:row>
      <xdr:rowOff>0</xdr:rowOff>
    </xdr:to>
    <xdr:sp macro="" textlink="">
      <xdr:nvSpPr>
        <xdr:cNvPr id="1120" name="nuNumber: 1149" hidden="1">
          <a:extLst>
            <a:ext uri="{FF2B5EF4-FFF2-40B4-BE49-F238E27FC236}">
              <a16:creationId xmlns:a16="http://schemas.microsoft.com/office/drawing/2014/main" id="{1B13926D-B03B-423C-8361-8D68D251580D}"/>
            </a:ext>
          </a:extLst>
        </xdr:cNvPr>
        <xdr:cNvSpPr/>
      </xdr:nvSpPr>
      <xdr:spPr bwMode="auto">
        <a:xfrm>
          <a:off x="15135225" y="66165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307</xdr:row>
      <xdr:rowOff>119380</xdr:rowOff>
    </xdr:from>
    <xdr:to>
      <xdr:col>21</xdr:col>
      <xdr:colOff>63500</xdr:colOff>
      <xdr:row>308</xdr:row>
      <xdr:rowOff>0</xdr:rowOff>
    </xdr:to>
    <xdr:sp macro="" textlink="">
      <xdr:nvSpPr>
        <xdr:cNvPr id="1121" name="nuNumber: 1150" hidden="1">
          <a:extLst>
            <a:ext uri="{FF2B5EF4-FFF2-40B4-BE49-F238E27FC236}">
              <a16:creationId xmlns:a16="http://schemas.microsoft.com/office/drawing/2014/main" id="{EBB53267-36B5-4E36-A020-CB2FCAA037B3}"/>
            </a:ext>
          </a:extLst>
        </xdr:cNvPr>
        <xdr:cNvSpPr/>
      </xdr:nvSpPr>
      <xdr:spPr bwMode="auto">
        <a:xfrm>
          <a:off x="15849600" y="66165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307</xdr:row>
      <xdr:rowOff>119380</xdr:rowOff>
    </xdr:from>
    <xdr:to>
      <xdr:col>30</xdr:col>
      <xdr:colOff>63499</xdr:colOff>
      <xdr:row>308</xdr:row>
      <xdr:rowOff>0</xdr:rowOff>
    </xdr:to>
    <xdr:sp macro="" textlink="">
      <xdr:nvSpPr>
        <xdr:cNvPr id="1122" name="nuNumber: 1151" hidden="1">
          <a:extLst>
            <a:ext uri="{FF2B5EF4-FFF2-40B4-BE49-F238E27FC236}">
              <a16:creationId xmlns:a16="http://schemas.microsoft.com/office/drawing/2014/main" id="{CFCD35AC-0782-4A9C-AED6-91F3DED19B0B}"/>
            </a:ext>
          </a:extLst>
        </xdr:cNvPr>
        <xdr:cNvSpPr/>
      </xdr:nvSpPr>
      <xdr:spPr bwMode="auto">
        <a:xfrm>
          <a:off x="22242779" y="66165730"/>
          <a:ext cx="61595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307</xdr:row>
      <xdr:rowOff>119380</xdr:rowOff>
    </xdr:from>
    <xdr:to>
      <xdr:col>31</xdr:col>
      <xdr:colOff>63500</xdr:colOff>
      <xdr:row>308</xdr:row>
      <xdr:rowOff>0</xdr:rowOff>
    </xdr:to>
    <xdr:sp macro="" textlink="">
      <xdr:nvSpPr>
        <xdr:cNvPr id="1123" name="nuNumber: 1152" hidden="1">
          <a:extLst>
            <a:ext uri="{FF2B5EF4-FFF2-40B4-BE49-F238E27FC236}">
              <a16:creationId xmlns:a16="http://schemas.microsoft.com/office/drawing/2014/main" id="{2E2400BE-6C33-46F1-9615-99B64A65FB41}"/>
            </a:ext>
          </a:extLst>
        </xdr:cNvPr>
        <xdr:cNvSpPr/>
      </xdr:nvSpPr>
      <xdr:spPr bwMode="auto">
        <a:xfrm>
          <a:off x="23383875" y="66165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308</xdr:row>
      <xdr:rowOff>119379</xdr:rowOff>
    </xdr:from>
    <xdr:to>
      <xdr:col>30</xdr:col>
      <xdr:colOff>63499</xdr:colOff>
      <xdr:row>308</xdr:row>
      <xdr:rowOff>182879</xdr:rowOff>
    </xdr:to>
    <xdr:sp macro="" textlink="">
      <xdr:nvSpPr>
        <xdr:cNvPr id="1124" name="nuNumber: 1153" hidden="1">
          <a:extLst>
            <a:ext uri="{FF2B5EF4-FFF2-40B4-BE49-F238E27FC236}">
              <a16:creationId xmlns:a16="http://schemas.microsoft.com/office/drawing/2014/main" id="{64D4B955-BBE1-499F-AFFA-433DCB6FA2D7}"/>
            </a:ext>
          </a:extLst>
        </xdr:cNvPr>
        <xdr:cNvSpPr/>
      </xdr:nvSpPr>
      <xdr:spPr bwMode="auto">
        <a:xfrm>
          <a:off x="22242779" y="66375279"/>
          <a:ext cx="61595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308</xdr:row>
      <xdr:rowOff>119379</xdr:rowOff>
    </xdr:from>
    <xdr:to>
      <xdr:col>31</xdr:col>
      <xdr:colOff>63500</xdr:colOff>
      <xdr:row>308</xdr:row>
      <xdr:rowOff>182879</xdr:rowOff>
    </xdr:to>
    <xdr:sp macro="" textlink="">
      <xdr:nvSpPr>
        <xdr:cNvPr id="1125" name="nuNumber: 1154" hidden="1">
          <a:extLst>
            <a:ext uri="{FF2B5EF4-FFF2-40B4-BE49-F238E27FC236}">
              <a16:creationId xmlns:a16="http://schemas.microsoft.com/office/drawing/2014/main" id="{D588AB09-592C-4A3E-8BC4-F7834F6FECC8}"/>
            </a:ext>
          </a:extLst>
        </xdr:cNvPr>
        <xdr:cNvSpPr/>
      </xdr:nvSpPr>
      <xdr:spPr bwMode="auto">
        <a:xfrm>
          <a:off x="23383875" y="663752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309</xdr:row>
      <xdr:rowOff>119378</xdr:rowOff>
    </xdr:from>
    <xdr:to>
      <xdr:col>6</xdr:col>
      <xdr:colOff>63500</xdr:colOff>
      <xdr:row>309</xdr:row>
      <xdr:rowOff>182878</xdr:rowOff>
    </xdr:to>
    <xdr:sp macro="" textlink="">
      <xdr:nvSpPr>
        <xdr:cNvPr id="1126" name="nuNumber: 1155" hidden="1">
          <a:extLst>
            <a:ext uri="{FF2B5EF4-FFF2-40B4-BE49-F238E27FC236}">
              <a16:creationId xmlns:a16="http://schemas.microsoft.com/office/drawing/2014/main" id="{E557260F-2BC9-45F2-8CC0-F2344CB6C23B}"/>
            </a:ext>
          </a:extLst>
        </xdr:cNvPr>
        <xdr:cNvSpPr/>
      </xdr:nvSpPr>
      <xdr:spPr bwMode="auto">
        <a:xfrm>
          <a:off x="3800475" y="665848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309</xdr:row>
      <xdr:rowOff>119378</xdr:rowOff>
    </xdr:from>
    <xdr:to>
      <xdr:col>7</xdr:col>
      <xdr:colOff>63500</xdr:colOff>
      <xdr:row>309</xdr:row>
      <xdr:rowOff>182878</xdr:rowOff>
    </xdr:to>
    <xdr:sp macro="" textlink="">
      <xdr:nvSpPr>
        <xdr:cNvPr id="1127" name="nuNumber: 1156" hidden="1">
          <a:extLst>
            <a:ext uri="{FF2B5EF4-FFF2-40B4-BE49-F238E27FC236}">
              <a16:creationId xmlns:a16="http://schemas.microsoft.com/office/drawing/2014/main" id="{1FAB98FF-86E7-4B54-8AEB-4D7D87C8AF2F}"/>
            </a:ext>
          </a:extLst>
        </xdr:cNvPr>
        <xdr:cNvSpPr/>
      </xdr:nvSpPr>
      <xdr:spPr bwMode="auto">
        <a:xfrm>
          <a:off x="4676775" y="665848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309</xdr:row>
      <xdr:rowOff>119378</xdr:rowOff>
    </xdr:from>
    <xdr:to>
      <xdr:col>8</xdr:col>
      <xdr:colOff>63500</xdr:colOff>
      <xdr:row>309</xdr:row>
      <xdr:rowOff>182878</xdr:rowOff>
    </xdr:to>
    <xdr:sp macro="" textlink="">
      <xdr:nvSpPr>
        <xdr:cNvPr id="1128" name="nuNumber: 1157" hidden="1">
          <a:extLst>
            <a:ext uri="{FF2B5EF4-FFF2-40B4-BE49-F238E27FC236}">
              <a16:creationId xmlns:a16="http://schemas.microsoft.com/office/drawing/2014/main" id="{919CCCE9-4446-430F-A4EF-607EFA1B3307}"/>
            </a:ext>
          </a:extLst>
        </xdr:cNvPr>
        <xdr:cNvSpPr/>
      </xdr:nvSpPr>
      <xdr:spPr bwMode="auto">
        <a:xfrm>
          <a:off x="5562600" y="665848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309</xdr:row>
      <xdr:rowOff>119378</xdr:rowOff>
    </xdr:from>
    <xdr:to>
      <xdr:col>9</xdr:col>
      <xdr:colOff>63500</xdr:colOff>
      <xdr:row>309</xdr:row>
      <xdr:rowOff>182878</xdr:rowOff>
    </xdr:to>
    <xdr:sp macro="" textlink="">
      <xdr:nvSpPr>
        <xdr:cNvPr id="1129" name="nuNumber: 1158" hidden="1">
          <a:extLst>
            <a:ext uri="{FF2B5EF4-FFF2-40B4-BE49-F238E27FC236}">
              <a16:creationId xmlns:a16="http://schemas.microsoft.com/office/drawing/2014/main" id="{639AD1AF-B35B-4D04-8BA9-EF2F915F2641}"/>
            </a:ext>
          </a:extLst>
        </xdr:cNvPr>
        <xdr:cNvSpPr/>
      </xdr:nvSpPr>
      <xdr:spPr bwMode="auto">
        <a:xfrm>
          <a:off x="6467475" y="665848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309</xdr:row>
      <xdr:rowOff>119378</xdr:rowOff>
    </xdr:from>
    <xdr:to>
      <xdr:col>9</xdr:col>
      <xdr:colOff>63500</xdr:colOff>
      <xdr:row>309</xdr:row>
      <xdr:rowOff>182878</xdr:rowOff>
    </xdr:to>
    <xdr:sp macro="" textlink="">
      <xdr:nvSpPr>
        <xdr:cNvPr id="1130" name="nuNumber: 1159" hidden="1">
          <a:extLst>
            <a:ext uri="{FF2B5EF4-FFF2-40B4-BE49-F238E27FC236}">
              <a16:creationId xmlns:a16="http://schemas.microsoft.com/office/drawing/2014/main" id="{E42329F8-6679-49DF-BE4B-CB7F69D0003D}"/>
            </a:ext>
          </a:extLst>
        </xdr:cNvPr>
        <xdr:cNvSpPr/>
      </xdr:nvSpPr>
      <xdr:spPr bwMode="auto">
        <a:xfrm>
          <a:off x="6467475" y="665848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309</xdr:row>
      <xdr:rowOff>119378</xdr:rowOff>
    </xdr:from>
    <xdr:to>
      <xdr:col>10</xdr:col>
      <xdr:colOff>63500</xdr:colOff>
      <xdr:row>309</xdr:row>
      <xdr:rowOff>182878</xdr:rowOff>
    </xdr:to>
    <xdr:sp macro="" textlink="">
      <xdr:nvSpPr>
        <xdr:cNvPr id="1131" name="nuNumber: 1160" hidden="1">
          <a:extLst>
            <a:ext uri="{FF2B5EF4-FFF2-40B4-BE49-F238E27FC236}">
              <a16:creationId xmlns:a16="http://schemas.microsoft.com/office/drawing/2014/main" id="{0F65F97A-9D45-4565-A78A-CCAD0E6BE277}"/>
            </a:ext>
          </a:extLst>
        </xdr:cNvPr>
        <xdr:cNvSpPr/>
      </xdr:nvSpPr>
      <xdr:spPr bwMode="auto">
        <a:xfrm>
          <a:off x="7315200" y="665848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309</xdr:row>
      <xdr:rowOff>119378</xdr:rowOff>
    </xdr:from>
    <xdr:to>
      <xdr:col>11</xdr:col>
      <xdr:colOff>63500</xdr:colOff>
      <xdr:row>309</xdr:row>
      <xdr:rowOff>182878</xdr:rowOff>
    </xdr:to>
    <xdr:sp macro="" textlink="">
      <xdr:nvSpPr>
        <xdr:cNvPr id="1132" name="nuNumber: 1161" hidden="1">
          <a:extLst>
            <a:ext uri="{FF2B5EF4-FFF2-40B4-BE49-F238E27FC236}">
              <a16:creationId xmlns:a16="http://schemas.microsoft.com/office/drawing/2014/main" id="{BFF79857-0A77-4A85-9093-41B43A4E0C40}"/>
            </a:ext>
          </a:extLst>
        </xdr:cNvPr>
        <xdr:cNvSpPr/>
      </xdr:nvSpPr>
      <xdr:spPr bwMode="auto">
        <a:xfrm>
          <a:off x="8105775" y="665848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309</xdr:row>
      <xdr:rowOff>119378</xdr:rowOff>
    </xdr:from>
    <xdr:to>
      <xdr:col>12</xdr:col>
      <xdr:colOff>63500</xdr:colOff>
      <xdr:row>309</xdr:row>
      <xdr:rowOff>182878</xdr:rowOff>
    </xdr:to>
    <xdr:sp macro="" textlink="">
      <xdr:nvSpPr>
        <xdr:cNvPr id="1133" name="nuNumber: 1162" hidden="1">
          <a:extLst>
            <a:ext uri="{FF2B5EF4-FFF2-40B4-BE49-F238E27FC236}">
              <a16:creationId xmlns:a16="http://schemas.microsoft.com/office/drawing/2014/main" id="{23B8C906-1922-4887-B30C-8343541B2CF2}"/>
            </a:ext>
          </a:extLst>
        </xdr:cNvPr>
        <xdr:cNvSpPr/>
      </xdr:nvSpPr>
      <xdr:spPr bwMode="auto">
        <a:xfrm>
          <a:off x="8972550" y="665848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309</xdr:row>
      <xdr:rowOff>119378</xdr:rowOff>
    </xdr:from>
    <xdr:to>
      <xdr:col>13</xdr:col>
      <xdr:colOff>63500</xdr:colOff>
      <xdr:row>309</xdr:row>
      <xdr:rowOff>182878</xdr:rowOff>
    </xdr:to>
    <xdr:sp macro="" textlink="">
      <xdr:nvSpPr>
        <xdr:cNvPr id="1134" name="nuNumber: 1163" hidden="1">
          <a:extLst>
            <a:ext uri="{FF2B5EF4-FFF2-40B4-BE49-F238E27FC236}">
              <a16:creationId xmlns:a16="http://schemas.microsoft.com/office/drawing/2014/main" id="{C847DFD8-E908-480F-937A-5FA3A0D6A085}"/>
            </a:ext>
          </a:extLst>
        </xdr:cNvPr>
        <xdr:cNvSpPr/>
      </xdr:nvSpPr>
      <xdr:spPr bwMode="auto">
        <a:xfrm>
          <a:off x="9753600" y="665848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309</xdr:row>
      <xdr:rowOff>119378</xdr:rowOff>
    </xdr:from>
    <xdr:to>
      <xdr:col>14</xdr:col>
      <xdr:colOff>63500</xdr:colOff>
      <xdr:row>309</xdr:row>
      <xdr:rowOff>182878</xdr:rowOff>
    </xdr:to>
    <xdr:sp macro="" textlink="">
      <xdr:nvSpPr>
        <xdr:cNvPr id="1135" name="nuNumber: 1164" hidden="1">
          <a:extLst>
            <a:ext uri="{FF2B5EF4-FFF2-40B4-BE49-F238E27FC236}">
              <a16:creationId xmlns:a16="http://schemas.microsoft.com/office/drawing/2014/main" id="{21061FEA-B44B-433E-BC7A-F8244FA6B5AC}"/>
            </a:ext>
          </a:extLst>
        </xdr:cNvPr>
        <xdr:cNvSpPr/>
      </xdr:nvSpPr>
      <xdr:spPr bwMode="auto">
        <a:xfrm>
          <a:off x="10515600" y="665848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309</xdr:row>
      <xdr:rowOff>119378</xdr:rowOff>
    </xdr:from>
    <xdr:to>
      <xdr:col>15</xdr:col>
      <xdr:colOff>63500</xdr:colOff>
      <xdr:row>309</xdr:row>
      <xdr:rowOff>182878</xdr:rowOff>
    </xdr:to>
    <xdr:sp macro="" textlink="">
      <xdr:nvSpPr>
        <xdr:cNvPr id="1136" name="nuNumber: 1165" hidden="1">
          <a:extLst>
            <a:ext uri="{FF2B5EF4-FFF2-40B4-BE49-F238E27FC236}">
              <a16:creationId xmlns:a16="http://schemas.microsoft.com/office/drawing/2014/main" id="{A4318FD5-94BB-4F49-9EE8-E319279FFD37}"/>
            </a:ext>
          </a:extLst>
        </xdr:cNvPr>
        <xdr:cNvSpPr/>
      </xdr:nvSpPr>
      <xdr:spPr bwMode="auto">
        <a:xfrm>
          <a:off x="11325225" y="665848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309</xdr:row>
      <xdr:rowOff>119378</xdr:rowOff>
    </xdr:from>
    <xdr:to>
      <xdr:col>16</xdr:col>
      <xdr:colOff>63500</xdr:colOff>
      <xdr:row>309</xdr:row>
      <xdr:rowOff>182878</xdr:rowOff>
    </xdr:to>
    <xdr:sp macro="" textlink="">
      <xdr:nvSpPr>
        <xdr:cNvPr id="1137" name="nuNumber: 1166" hidden="1">
          <a:extLst>
            <a:ext uri="{FF2B5EF4-FFF2-40B4-BE49-F238E27FC236}">
              <a16:creationId xmlns:a16="http://schemas.microsoft.com/office/drawing/2014/main" id="{6AFDB998-1E71-4E2B-92E1-C237C6CB5CF4}"/>
            </a:ext>
          </a:extLst>
        </xdr:cNvPr>
        <xdr:cNvSpPr/>
      </xdr:nvSpPr>
      <xdr:spPr bwMode="auto">
        <a:xfrm>
          <a:off x="12106275" y="665848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309</xdr:row>
      <xdr:rowOff>119378</xdr:rowOff>
    </xdr:from>
    <xdr:to>
      <xdr:col>17</xdr:col>
      <xdr:colOff>63500</xdr:colOff>
      <xdr:row>309</xdr:row>
      <xdr:rowOff>182878</xdr:rowOff>
    </xdr:to>
    <xdr:sp macro="" textlink="">
      <xdr:nvSpPr>
        <xdr:cNvPr id="1138" name="nuNumber: 1167" hidden="1">
          <a:extLst>
            <a:ext uri="{FF2B5EF4-FFF2-40B4-BE49-F238E27FC236}">
              <a16:creationId xmlns:a16="http://schemas.microsoft.com/office/drawing/2014/main" id="{FA56FCFB-35BC-48C8-B3D8-64DB78617008}"/>
            </a:ext>
          </a:extLst>
        </xdr:cNvPr>
        <xdr:cNvSpPr/>
      </xdr:nvSpPr>
      <xdr:spPr bwMode="auto">
        <a:xfrm>
          <a:off x="12887325" y="665848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309</xdr:row>
      <xdr:rowOff>119378</xdr:rowOff>
    </xdr:from>
    <xdr:to>
      <xdr:col>18</xdr:col>
      <xdr:colOff>63499</xdr:colOff>
      <xdr:row>309</xdr:row>
      <xdr:rowOff>182878</xdr:rowOff>
    </xdr:to>
    <xdr:sp macro="" textlink="">
      <xdr:nvSpPr>
        <xdr:cNvPr id="1139" name="nuNumber: 1168" hidden="1">
          <a:extLst>
            <a:ext uri="{FF2B5EF4-FFF2-40B4-BE49-F238E27FC236}">
              <a16:creationId xmlns:a16="http://schemas.microsoft.com/office/drawing/2014/main" id="{FAFE2CFD-242A-4B91-B272-ABE623F2577B}"/>
            </a:ext>
          </a:extLst>
        </xdr:cNvPr>
        <xdr:cNvSpPr/>
      </xdr:nvSpPr>
      <xdr:spPr bwMode="auto">
        <a:xfrm>
          <a:off x="13624559" y="66584828"/>
          <a:ext cx="5969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309</xdr:row>
      <xdr:rowOff>119378</xdr:rowOff>
    </xdr:from>
    <xdr:to>
      <xdr:col>19</xdr:col>
      <xdr:colOff>63500</xdr:colOff>
      <xdr:row>309</xdr:row>
      <xdr:rowOff>182878</xdr:rowOff>
    </xdr:to>
    <xdr:sp macro="" textlink="">
      <xdr:nvSpPr>
        <xdr:cNvPr id="1140" name="nuNumber: 1169" hidden="1">
          <a:extLst>
            <a:ext uri="{FF2B5EF4-FFF2-40B4-BE49-F238E27FC236}">
              <a16:creationId xmlns:a16="http://schemas.microsoft.com/office/drawing/2014/main" id="{141A7A68-82BE-4968-A788-D7FD3F3BEBA4}"/>
            </a:ext>
          </a:extLst>
        </xdr:cNvPr>
        <xdr:cNvSpPr/>
      </xdr:nvSpPr>
      <xdr:spPr bwMode="auto">
        <a:xfrm>
          <a:off x="14382750" y="665848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309</xdr:row>
      <xdr:rowOff>119378</xdr:rowOff>
    </xdr:from>
    <xdr:to>
      <xdr:col>21</xdr:col>
      <xdr:colOff>63500</xdr:colOff>
      <xdr:row>309</xdr:row>
      <xdr:rowOff>182878</xdr:rowOff>
    </xdr:to>
    <xdr:sp macro="" textlink="">
      <xdr:nvSpPr>
        <xdr:cNvPr id="1141" name="nuNumber: 1170" hidden="1">
          <a:extLst>
            <a:ext uri="{FF2B5EF4-FFF2-40B4-BE49-F238E27FC236}">
              <a16:creationId xmlns:a16="http://schemas.microsoft.com/office/drawing/2014/main" id="{746D4A93-1252-4A92-A3DD-D5A64CDC646E}"/>
            </a:ext>
          </a:extLst>
        </xdr:cNvPr>
        <xdr:cNvSpPr/>
      </xdr:nvSpPr>
      <xdr:spPr bwMode="auto">
        <a:xfrm>
          <a:off x="15849600" y="665848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309</xdr:row>
      <xdr:rowOff>119378</xdr:rowOff>
    </xdr:from>
    <xdr:to>
      <xdr:col>30</xdr:col>
      <xdr:colOff>63499</xdr:colOff>
      <xdr:row>309</xdr:row>
      <xdr:rowOff>182878</xdr:rowOff>
    </xdr:to>
    <xdr:sp macro="" textlink="">
      <xdr:nvSpPr>
        <xdr:cNvPr id="1142" name="nuNumber: 1171" hidden="1">
          <a:extLst>
            <a:ext uri="{FF2B5EF4-FFF2-40B4-BE49-F238E27FC236}">
              <a16:creationId xmlns:a16="http://schemas.microsoft.com/office/drawing/2014/main" id="{92FE0940-F39C-4916-B99E-736669FD1672}"/>
            </a:ext>
          </a:extLst>
        </xdr:cNvPr>
        <xdr:cNvSpPr/>
      </xdr:nvSpPr>
      <xdr:spPr bwMode="auto">
        <a:xfrm>
          <a:off x="22242779" y="66584828"/>
          <a:ext cx="61595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309</xdr:row>
      <xdr:rowOff>119378</xdr:rowOff>
    </xdr:from>
    <xdr:to>
      <xdr:col>31</xdr:col>
      <xdr:colOff>63500</xdr:colOff>
      <xdr:row>309</xdr:row>
      <xdr:rowOff>182878</xdr:rowOff>
    </xdr:to>
    <xdr:sp macro="" textlink="">
      <xdr:nvSpPr>
        <xdr:cNvPr id="1143" name="nuNumber: 1172" hidden="1">
          <a:extLst>
            <a:ext uri="{FF2B5EF4-FFF2-40B4-BE49-F238E27FC236}">
              <a16:creationId xmlns:a16="http://schemas.microsoft.com/office/drawing/2014/main" id="{3B7DE983-9825-4AFD-95D5-E708B492F41E}"/>
            </a:ext>
          </a:extLst>
        </xdr:cNvPr>
        <xdr:cNvSpPr/>
      </xdr:nvSpPr>
      <xdr:spPr bwMode="auto">
        <a:xfrm>
          <a:off x="23383875" y="665848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310</xdr:row>
      <xdr:rowOff>119382</xdr:rowOff>
    </xdr:from>
    <xdr:to>
      <xdr:col>6</xdr:col>
      <xdr:colOff>63500</xdr:colOff>
      <xdr:row>311</xdr:row>
      <xdr:rowOff>2</xdr:rowOff>
    </xdr:to>
    <xdr:sp macro="" textlink="">
      <xdr:nvSpPr>
        <xdr:cNvPr id="1144" name="nuNumber: 1173" hidden="1">
          <a:extLst>
            <a:ext uri="{FF2B5EF4-FFF2-40B4-BE49-F238E27FC236}">
              <a16:creationId xmlns:a16="http://schemas.microsoft.com/office/drawing/2014/main" id="{61D22F3F-786C-4EF9-9922-006B0FB546FB}"/>
            </a:ext>
          </a:extLst>
        </xdr:cNvPr>
        <xdr:cNvSpPr/>
      </xdr:nvSpPr>
      <xdr:spPr bwMode="auto">
        <a:xfrm>
          <a:off x="3800475" y="667943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310</xdr:row>
      <xdr:rowOff>119382</xdr:rowOff>
    </xdr:from>
    <xdr:to>
      <xdr:col>7</xdr:col>
      <xdr:colOff>63500</xdr:colOff>
      <xdr:row>311</xdr:row>
      <xdr:rowOff>2</xdr:rowOff>
    </xdr:to>
    <xdr:sp macro="" textlink="">
      <xdr:nvSpPr>
        <xdr:cNvPr id="1145" name="nuNumber: 1174" hidden="1">
          <a:extLst>
            <a:ext uri="{FF2B5EF4-FFF2-40B4-BE49-F238E27FC236}">
              <a16:creationId xmlns:a16="http://schemas.microsoft.com/office/drawing/2014/main" id="{C37C3F39-E496-4A35-AABD-1590FB481BCE}"/>
            </a:ext>
          </a:extLst>
        </xdr:cNvPr>
        <xdr:cNvSpPr/>
      </xdr:nvSpPr>
      <xdr:spPr bwMode="auto">
        <a:xfrm>
          <a:off x="4676775" y="667943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310</xdr:row>
      <xdr:rowOff>119382</xdr:rowOff>
    </xdr:from>
    <xdr:to>
      <xdr:col>8</xdr:col>
      <xdr:colOff>63500</xdr:colOff>
      <xdr:row>311</xdr:row>
      <xdr:rowOff>2</xdr:rowOff>
    </xdr:to>
    <xdr:sp macro="" textlink="">
      <xdr:nvSpPr>
        <xdr:cNvPr id="1146" name="nuNumber: 1175" hidden="1">
          <a:extLst>
            <a:ext uri="{FF2B5EF4-FFF2-40B4-BE49-F238E27FC236}">
              <a16:creationId xmlns:a16="http://schemas.microsoft.com/office/drawing/2014/main" id="{C5D6840A-571E-482B-A335-4CB93B4EDA8C}"/>
            </a:ext>
          </a:extLst>
        </xdr:cNvPr>
        <xdr:cNvSpPr/>
      </xdr:nvSpPr>
      <xdr:spPr bwMode="auto">
        <a:xfrm>
          <a:off x="5562600" y="667943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310</xdr:row>
      <xdr:rowOff>119382</xdr:rowOff>
    </xdr:from>
    <xdr:to>
      <xdr:col>9</xdr:col>
      <xdr:colOff>63500</xdr:colOff>
      <xdr:row>311</xdr:row>
      <xdr:rowOff>2</xdr:rowOff>
    </xdr:to>
    <xdr:sp macro="" textlink="">
      <xdr:nvSpPr>
        <xdr:cNvPr id="1147" name="nuNumber: 1176" hidden="1">
          <a:extLst>
            <a:ext uri="{FF2B5EF4-FFF2-40B4-BE49-F238E27FC236}">
              <a16:creationId xmlns:a16="http://schemas.microsoft.com/office/drawing/2014/main" id="{BB0BBA81-3218-4AF4-B2EC-B547BF7506AF}"/>
            </a:ext>
          </a:extLst>
        </xdr:cNvPr>
        <xdr:cNvSpPr/>
      </xdr:nvSpPr>
      <xdr:spPr bwMode="auto">
        <a:xfrm>
          <a:off x="6467475" y="667943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310</xdr:row>
      <xdr:rowOff>119382</xdr:rowOff>
    </xdr:from>
    <xdr:to>
      <xdr:col>9</xdr:col>
      <xdr:colOff>63500</xdr:colOff>
      <xdr:row>311</xdr:row>
      <xdr:rowOff>2</xdr:rowOff>
    </xdr:to>
    <xdr:sp macro="" textlink="">
      <xdr:nvSpPr>
        <xdr:cNvPr id="1148" name="nuNumber: 1177" hidden="1">
          <a:extLst>
            <a:ext uri="{FF2B5EF4-FFF2-40B4-BE49-F238E27FC236}">
              <a16:creationId xmlns:a16="http://schemas.microsoft.com/office/drawing/2014/main" id="{5237DCDB-D91D-4FD8-8730-F254F509FF58}"/>
            </a:ext>
          </a:extLst>
        </xdr:cNvPr>
        <xdr:cNvSpPr/>
      </xdr:nvSpPr>
      <xdr:spPr bwMode="auto">
        <a:xfrm>
          <a:off x="6467475" y="667943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310</xdr:row>
      <xdr:rowOff>119382</xdr:rowOff>
    </xdr:from>
    <xdr:to>
      <xdr:col>10</xdr:col>
      <xdr:colOff>63500</xdr:colOff>
      <xdr:row>311</xdr:row>
      <xdr:rowOff>2</xdr:rowOff>
    </xdr:to>
    <xdr:sp macro="" textlink="">
      <xdr:nvSpPr>
        <xdr:cNvPr id="1149" name="nuNumber: 1178" hidden="1">
          <a:extLst>
            <a:ext uri="{FF2B5EF4-FFF2-40B4-BE49-F238E27FC236}">
              <a16:creationId xmlns:a16="http://schemas.microsoft.com/office/drawing/2014/main" id="{D769C852-AAD3-4132-9C7D-AD21CDCFDA05}"/>
            </a:ext>
          </a:extLst>
        </xdr:cNvPr>
        <xdr:cNvSpPr/>
      </xdr:nvSpPr>
      <xdr:spPr bwMode="auto">
        <a:xfrm>
          <a:off x="7315200" y="667943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310</xdr:row>
      <xdr:rowOff>119382</xdr:rowOff>
    </xdr:from>
    <xdr:to>
      <xdr:col>11</xdr:col>
      <xdr:colOff>63500</xdr:colOff>
      <xdr:row>311</xdr:row>
      <xdr:rowOff>2</xdr:rowOff>
    </xdr:to>
    <xdr:sp macro="" textlink="">
      <xdr:nvSpPr>
        <xdr:cNvPr id="1150" name="nuNumber: 1179" hidden="1">
          <a:extLst>
            <a:ext uri="{FF2B5EF4-FFF2-40B4-BE49-F238E27FC236}">
              <a16:creationId xmlns:a16="http://schemas.microsoft.com/office/drawing/2014/main" id="{405096BE-2668-4769-8609-62C8EB7A43CF}"/>
            </a:ext>
          </a:extLst>
        </xdr:cNvPr>
        <xdr:cNvSpPr/>
      </xdr:nvSpPr>
      <xdr:spPr bwMode="auto">
        <a:xfrm>
          <a:off x="8105775" y="667943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310</xdr:row>
      <xdr:rowOff>119382</xdr:rowOff>
    </xdr:from>
    <xdr:to>
      <xdr:col>12</xdr:col>
      <xdr:colOff>63500</xdr:colOff>
      <xdr:row>311</xdr:row>
      <xdr:rowOff>2</xdr:rowOff>
    </xdr:to>
    <xdr:sp macro="" textlink="">
      <xdr:nvSpPr>
        <xdr:cNvPr id="1151" name="nuNumber: 1180" hidden="1">
          <a:extLst>
            <a:ext uri="{FF2B5EF4-FFF2-40B4-BE49-F238E27FC236}">
              <a16:creationId xmlns:a16="http://schemas.microsoft.com/office/drawing/2014/main" id="{CE003CAF-162A-4BB7-9A5C-913FE3A6F2B2}"/>
            </a:ext>
          </a:extLst>
        </xdr:cNvPr>
        <xdr:cNvSpPr/>
      </xdr:nvSpPr>
      <xdr:spPr bwMode="auto">
        <a:xfrm>
          <a:off x="8972550" y="667943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310</xdr:row>
      <xdr:rowOff>119382</xdr:rowOff>
    </xdr:from>
    <xdr:to>
      <xdr:col>13</xdr:col>
      <xdr:colOff>63500</xdr:colOff>
      <xdr:row>311</xdr:row>
      <xdr:rowOff>2</xdr:rowOff>
    </xdr:to>
    <xdr:sp macro="" textlink="">
      <xdr:nvSpPr>
        <xdr:cNvPr id="1152" name="nuNumber: 1181" hidden="1">
          <a:extLst>
            <a:ext uri="{FF2B5EF4-FFF2-40B4-BE49-F238E27FC236}">
              <a16:creationId xmlns:a16="http://schemas.microsoft.com/office/drawing/2014/main" id="{0E712559-4768-42C3-A1EC-EB2BB58F55B7}"/>
            </a:ext>
          </a:extLst>
        </xdr:cNvPr>
        <xdr:cNvSpPr/>
      </xdr:nvSpPr>
      <xdr:spPr bwMode="auto">
        <a:xfrm>
          <a:off x="9753600" y="667943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310</xdr:row>
      <xdr:rowOff>119382</xdr:rowOff>
    </xdr:from>
    <xdr:to>
      <xdr:col>14</xdr:col>
      <xdr:colOff>63500</xdr:colOff>
      <xdr:row>311</xdr:row>
      <xdr:rowOff>2</xdr:rowOff>
    </xdr:to>
    <xdr:sp macro="" textlink="">
      <xdr:nvSpPr>
        <xdr:cNvPr id="1153" name="nuNumber: 1182" hidden="1">
          <a:extLst>
            <a:ext uri="{FF2B5EF4-FFF2-40B4-BE49-F238E27FC236}">
              <a16:creationId xmlns:a16="http://schemas.microsoft.com/office/drawing/2014/main" id="{84FBE7EC-0B24-4388-B834-8B86725F2227}"/>
            </a:ext>
          </a:extLst>
        </xdr:cNvPr>
        <xdr:cNvSpPr/>
      </xdr:nvSpPr>
      <xdr:spPr bwMode="auto">
        <a:xfrm>
          <a:off x="10515600" y="667943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310</xdr:row>
      <xdr:rowOff>119382</xdr:rowOff>
    </xdr:from>
    <xdr:to>
      <xdr:col>15</xdr:col>
      <xdr:colOff>63500</xdr:colOff>
      <xdr:row>311</xdr:row>
      <xdr:rowOff>2</xdr:rowOff>
    </xdr:to>
    <xdr:sp macro="" textlink="">
      <xdr:nvSpPr>
        <xdr:cNvPr id="1154" name="nuNumber: 1183" hidden="1">
          <a:extLst>
            <a:ext uri="{FF2B5EF4-FFF2-40B4-BE49-F238E27FC236}">
              <a16:creationId xmlns:a16="http://schemas.microsoft.com/office/drawing/2014/main" id="{48B1D195-1B8D-423B-9E71-4A108E62CF7F}"/>
            </a:ext>
          </a:extLst>
        </xdr:cNvPr>
        <xdr:cNvSpPr/>
      </xdr:nvSpPr>
      <xdr:spPr bwMode="auto">
        <a:xfrm>
          <a:off x="11325225" y="667943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310</xdr:row>
      <xdr:rowOff>119382</xdr:rowOff>
    </xdr:from>
    <xdr:to>
      <xdr:col>16</xdr:col>
      <xdr:colOff>63500</xdr:colOff>
      <xdr:row>311</xdr:row>
      <xdr:rowOff>2</xdr:rowOff>
    </xdr:to>
    <xdr:sp macro="" textlink="">
      <xdr:nvSpPr>
        <xdr:cNvPr id="1155" name="nuNumber: 1184" hidden="1">
          <a:extLst>
            <a:ext uri="{FF2B5EF4-FFF2-40B4-BE49-F238E27FC236}">
              <a16:creationId xmlns:a16="http://schemas.microsoft.com/office/drawing/2014/main" id="{3E91E1AB-DE25-4227-9FDA-2A948B543615}"/>
            </a:ext>
          </a:extLst>
        </xdr:cNvPr>
        <xdr:cNvSpPr/>
      </xdr:nvSpPr>
      <xdr:spPr bwMode="auto">
        <a:xfrm>
          <a:off x="12106275" y="667943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310</xdr:row>
      <xdr:rowOff>119382</xdr:rowOff>
    </xdr:from>
    <xdr:to>
      <xdr:col>17</xdr:col>
      <xdr:colOff>63500</xdr:colOff>
      <xdr:row>311</xdr:row>
      <xdr:rowOff>2</xdr:rowOff>
    </xdr:to>
    <xdr:sp macro="" textlink="">
      <xdr:nvSpPr>
        <xdr:cNvPr id="1156" name="nuNumber: 1185" hidden="1">
          <a:extLst>
            <a:ext uri="{FF2B5EF4-FFF2-40B4-BE49-F238E27FC236}">
              <a16:creationId xmlns:a16="http://schemas.microsoft.com/office/drawing/2014/main" id="{9D3C5E70-2AC3-4014-8B19-684676673494}"/>
            </a:ext>
          </a:extLst>
        </xdr:cNvPr>
        <xdr:cNvSpPr/>
      </xdr:nvSpPr>
      <xdr:spPr bwMode="auto">
        <a:xfrm>
          <a:off x="12887325" y="667943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310</xdr:row>
      <xdr:rowOff>119382</xdr:rowOff>
    </xdr:from>
    <xdr:to>
      <xdr:col>19</xdr:col>
      <xdr:colOff>63500</xdr:colOff>
      <xdr:row>311</xdr:row>
      <xdr:rowOff>2</xdr:rowOff>
    </xdr:to>
    <xdr:sp macro="" textlink="">
      <xdr:nvSpPr>
        <xdr:cNvPr id="1157" name="nuNumber: 1186" hidden="1">
          <a:extLst>
            <a:ext uri="{FF2B5EF4-FFF2-40B4-BE49-F238E27FC236}">
              <a16:creationId xmlns:a16="http://schemas.microsoft.com/office/drawing/2014/main" id="{1EE45B19-90F1-48BF-A65C-7E4E581A813E}"/>
            </a:ext>
          </a:extLst>
        </xdr:cNvPr>
        <xdr:cNvSpPr/>
      </xdr:nvSpPr>
      <xdr:spPr bwMode="auto">
        <a:xfrm>
          <a:off x="14382750" y="667943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310</xdr:row>
      <xdr:rowOff>119382</xdr:rowOff>
    </xdr:from>
    <xdr:to>
      <xdr:col>20</xdr:col>
      <xdr:colOff>63500</xdr:colOff>
      <xdr:row>311</xdr:row>
      <xdr:rowOff>2</xdr:rowOff>
    </xdr:to>
    <xdr:sp macro="" textlink="">
      <xdr:nvSpPr>
        <xdr:cNvPr id="1158" name="nuNumber: 1187" hidden="1">
          <a:extLst>
            <a:ext uri="{FF2B5EF4-FFF2-40B4-BE49-F238E27FC236}">
              <a16:creationId xmlns:a16="http://schemas.microsoft.com/office/drawing/2014/main" id="{8D804946-9A7E-4DAC-9394-E8BAFD4F48D2}"/>
            </a:ext>
          </a:extLst>
        </xdr:cNvPr>
        <xdr:cNvSpPr/>
      </xdr:nvSpPr>
      <xdr:spPr bwMode="auto">
        <a:xfrm>
          <a:off x="15135225" y="667943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310</xdr:row>
      <xdr:rowOff>119382</xdr:rowOff>
    </xdr:from>
    <xdr:to>
      <xdr:col>21</xdr:col>
      <xdr:colOff>63500</xdr:colOff>
      <xdr:row>311</xdr:row>
      <xdr:rowOff>2</xdr:rowOff>
    </xdr:to>
    <xdr:sp macro="" textlink="">
      <xdr:nvSpPr>
        <xdr:cNvPr id="1159" name="nuNumber: 1188" hidden="1">
          <a:extLst>
            <a:ext uri="{FF2B5EF4-FFF2-40B4-BE49-F238E27FC236}">
              <a16:creationId xmlns:a16="http://schemas.microsoft.com/office/drawing/2014/main" id="{7A63E283-B6B2-43D8-B67F-61CC57911F26}"/>
            </a:ext>
          </a:extLst>
        </xdr:cNvPr>
        <xdr:cNvSpPr/>
      </xdr:nvSpPr>
      <xdr:spPr bwMode="auto">
        <a:xfrm>
          <a:off x="15849600" y="667943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310</xdr:row>
      <xdr:rowOff>119382</xdr:rowOff>
    </xdr:from>
    <xdr:to>
      <xdr:col>30</xdr:col>
      <xdr:colOff>63499</xdr:colOff>
      <xdr:row>311</xdr:row>
      <xdr:rowOff>2</xdr:rowOff>
    </xdr:to>
    <xdr:sp macro="" textlink="">
      <xdr:nvSpPr>
        <xdr:cNvPr id="1160" name="nuNumber: 1189" hidden="1">
          <a:extLst>
            <a:ext uri="{FF2B5EF4-FFF2-40B4-BE49-F238E27FC236}">
              <a16:creationId xmlns:a16="http://schemas.microsoft.com/office/drawing/2014/main" id="{8235257B-1A5C-45F8-9111-AD885A2978C8}"/>
            </a:ext>
          </a:extLst>
        </xdr:cNvPr>
        <xdr:cNvSpPr/>
      </xdr:nvSpPr>
      <xdr:spPr bwMode="auto">
        <a:xfrm>
          <a:off x="22242779" y="66794382"/>
          <a:ext cx="61595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310</xdr:row>
      <xdr:rowOff>119382</xdr:rowOff>
    </xdr:from>
    <xdr:to>
      <xdr:col>31</xdr:col>
      <xdr:colOff>63500</xdr:colOff>
      <xdr:row>311</xdr:row>
      <xdr:rowOff>2</xdr:rowOff>
    </xdr:to>
    <xdr:sp macro="" textlink="">
      <xdr:nvSpPr>
        <xdr:cNvPr id="1161" name="nuNumber: 1190" hidden="1">
          <a:extLst>
            <a:ext uri="{FF2B5EF4-FFF2-40B4-BE49-F238E27FC236}">
              <a16:creationId xmlns:a16="http://schemas.microsoft.com/office/drawing/2014/main" id="{81AF02DC-AC95-4122-AEA0-7D8DFBA754A8}"/>
            </a:ext>
          </a:extLst>
        </xdr:cNvPr>
        <xdr:cNvSpPr/>
      </xdr:nvSpPr>
      <xdr:spPr bwMode="auto">
        <a:xfrm>
          <a:off x="23383875" y="667943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318</xdr:row>
      <xdr:rowOff>119381</xdr:rowOff>
    </xdr:from>
    <xdr:to>
      <xdr:col>30</xdr:col>
      <xdr:colOff>63499</xdr:colOff>
      <xdr:row>319</xdr:row>
      <xdr:rowOff>1</xdr:rowOff>
    </xdr:to>
    <xdr:sp macro="" textlink="">
      <xdr:nvSpPr>
        <xdr:cNvPr id="1162" name="nuNumber: 1191" hidden="1">
          <a:extLst>
            <a:ext uri="{FF2B5EF4-FFF2-40B4-BE49-F238E27FC236}">
              <a16:creationId xmlns:a16="http://schemas.microsoft.com/office/drawing/2014/main" id="{94ECF87C-3577-40AC-A00D-E5C0A32678A8}"/>
            </a:ext>
          </a:extLst>
        </xdr:cNvPr>
        <xdr:cNvSpPr/>
      </xdr:nvSpPr>
      <xdr:spPr bwMode="auto">
        <a:xfrm>
          <a:off x="22242779" y="68680331"/>
          <a:ext cx="61595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318</xdr:row>
      <xdr:rowOff>119381</xdr:rowOff>
    </xdr:from>
    <xdr:to>
      <xdr:col>31</xdr:col>
      <xdr:colOff>63500</xdr:colOff>
      <xdr:row>319</xdr:row>
      <xdr:rowOff>1</xdr:rowOff>
    </xdr:to>
    <xdr:sp macro="" textlink="">
      <xdr:nvSpPr>
        <xdr:cNvPr id="1163" name="nuNumber: 1192" hidden="1">
          <a:extLst>
            <a:ext uri="{FF2B5EF4-FFF2-40B4-BE49-F238E27FC236}">
              <a16:creationId xmlns:a16="http://schemas.microsoft.com/office/drawing/2014/main" id="{C82B5790-D48D-4FF3-9ED2-6D61332FBDCF}"/>
            </a:ext>
          </a:extLst>
        </xdr:cNvPr>
        <xdr:cNvSpPr/>
      </xdr:nvSpPr>
      <xdr:spPr bwMode="auto">
        <a:xfrm>
          <a:off x="23383875" y="6868033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319</xdr:row>
      <xdr:rowOff>119380</xdr:rowOff>
    </xdr:from>
    <xdr:to>
      <xdr:col>30</xdr:col>
      <xdr:colOff>63499</xdr:colOff>
      <xdr:row>320</xdr:row>
      <xdr:rowOff>0</xdr:rowOff>
    </xdr:to>
    <xdr:sp macro="" textlink="">
      <xdr:nvSpPr>
        <xdr:cNvPr id="1164" name="nuNumber: 1193" hidden="1">
          <a:extLst>
            <a:ext uri="{FF2B5EF4-FFF2-40B4-BE49-F238E27FC236}">
              <a16:creationId xmlns:a16="http://schemas.microsoft.com/office/drawing/2014/main" id="{E24445A4-B42F-4C8D-A358-7B59BF5BDCE7}"/>
            </a:ext>
          </a:extLst>
        </xdr:cNvPr>
        <xdr:cNvSpPr/>
      </xdr:nvSpPr>
      <xdr:spPr bwMode="auto">
        <a:xfrm>
          <a:off x="22242779" y="68889880"/>
          <a:ext cx="61595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319</xdr:row>
      <xdr:rowOff>119380</xdr:rowOff>
    </xdr:from>
    <xdr:to>
      <xdr:col>31</xdr:col>
      <xdr:colOff>63500</xdr:colOff>
      <xdr:row>320</xdr:row>
      <xdr:rowOff>0</xdr:rowOff>
    </xdr:to>
    <xdr:sp macro="" textlink="">
      <xdr:nvSpPr>
        <xdr:cNvPr id="1165" name="nuNumber: 1194" hidden="1">
          <a:extLst>
            <a:ext uri="{FF2B5EF4-FFF2-40B4-BE49-F238E27FC236}">
              <a16:creationId xmlns:a16="http://schemas.microsoft.com/office/drawing/2014/main" id="{09643C66-A69E-445D-BDAD-4840D042C6E9}"/>
            </a:ext>
          </a:extLst>
        </xdr:cNvPr>
        <xdr:cNvSpPr/>
      </xdr:nvSpPr>
      <xdr:spPr bwMode="auto">
        <a:xfrm>
          <a:off x="23383875" y="68889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348</xdr:row>
      <xdr:rowOff>119378</xdr:rowOff>
    </xdr:from>
    <xdr:to>
      <xdr:col>9</xdr:col>
      <xdr:colOff>63500</xdr:colOff>
      <xdr:row>348</xdr:row>
      <xdr:rowOff>182878</xdr:rowOff>
    </xdr:to>
    <xdr:sp macro="" textlink="">
      <xdr:nvSpPr>
        <xdr:cNvPr id="1166" name="nuNumber: 1195" hidden="1">
          <a:extLst>
            <a:ext uri="{FF2B5EF4-FFF2-40B4-BE49-F238E27FC236}">
              <a16:creationId xmlns:a16="http://schemas.microsoft.com/office/drawing/2014/main" id="{8AF308A2-A0FE-4258-A6FF-044FE3CD32CB}"/>
            </a:ext>
          </a:extLst>
        </xdr:cNvPr>
        <xdr:cNvSpPr/>
      </xdr:nvSpPr>
      <xdr:spPr bwMode="auto">
        <a:xfrm>
          <a:off x="6467475" y="7498587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348</xdr:row>
      <xdr:rowOff>119378</xdr:rowOff>
    </xdr:from>
    <xdr:to>
      <xdr:col>12</xdr:col>
      <xdr:colOff>63500</xdr:colOff>
      <xdr:row>348</xdr:row>
      <xdr:rowOff>182878</xdr:rowOff>
    </xdr:to>
    <xdr:sp macro="" textlink="">
      <xdr:nvSpPr>
        <xdr:cNvPr id="1167" name="nuNumber: 1196" hidden="1">
          <a:extLst>
            <a:ext uri="{FF2B5EF4-FFF2-40B4-BE49-F238E27FC236}">
              <a16:creationId xmlns:a16="http://schemas.microsoft.com/office/drawing/2014/main" id="{015FBB8A-454D-4F5E-B2DA-F93B41E3C8AB}"/>
            </a:ext>
          </a:extLst>
        </xdr:cNvPr>
        <xdr:cNvSpPr/>
      </xdr:nvSpPr>
      <xdr:spPr bwMode="auto">
        <a:xfrm>
          <a:off x="8972550" y="7498587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348</xdr:row>
      <xdr:rowOff>119378</xdr:rowOff>
    </xdr:from>
    <xdr:to>
      <xdr:col>14</xdr:col>
      <xdr:colOff>63500</xdr:colOff>
      <xdr:row>348</xdr:row>
      <xdr:rowOff>182878</xdr:rowOff>
    </xdr:to>
    <xdr:sp macro="" textlink="">
      <xdr:nvSpPr>
        <xdr:cNvPr id="1168" name="nuNumber: 1197" hidden="1">
          <a:extLst>
            <a:ext uri="{FF2B5EF4-FFF2-40B4-BE49-F238E27FC236}">
              <a16:creationId xmlns:a16="http://schemas.microsoft.com/office/drawing/2014/main" id="{A920CC84-D8CF-4971-9767-D053C08CBDC2}"/>
            </a:ext>
          </a:extLst>
        </xdr:cNvPr>
        <xdr:cNvSpPr/>
      </xdr:nvSpPr>
      <xdr:spPr bwMode="auto">
        <a:xfrm>
          <a:off x="10515600" y="7498587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348</xdr:row>
      <xdr:rowOff>119378</xdr:rowOff>
    </xdr:from>
    <xdr:to>
      <xdr:col>16</xdr:col>
      <xdr:colOff>63500</xdr:colOff>
      <xdr:row>348</xdr:row>
      <xdr:rowOff>182878</xdr:rowOff>
    </xdr:to>
    <xdr:sp macro="" textlink="">
      <xdr:nvSpPr>
        <xdr:cNvPr id="1169" name="nuNumber: 1198" hidden="1">
          <a:extLst>
            <a:ext uri="{FF2B5EF4-FFF2-40B4-BE49-F238E27FC236}">
              <a16:creationId xmlns:a16="http://schemas.microsoft.com/office/drawing/2014/main" id="{7087D538-7097-4FE4-A5A8-F707385966D1}"/>
            </a:ext>
          </a:extLst>
        </xdr:cNvPr>
        <xdr:cNvSpPr/>
      </xdr:nvSpPr>
      <xdr:spPr bwMode="auto">
        <a:xfrm>
          <a:off x="12106275" y="7498587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348</xdr:row>
      <xdr:rowOff>119378</xdr:rowOff>
    </xdr:from>
    <xdr:to>
      <xdr:col>19</xdr:col>
      <xdr:colOff>63500</xdr:colOff>
      <xdr:row>348</xdr:row>
      <xdr:rowOff>182878</xdr:rowOff>
    </xdr:to>
    <xdr:sp macro="" textlink="">
      <xdr:nvSpPr>
        <xdr:cNvPr id="1170" name="nuNumber: 1199" hidden="1">
          <a:extLst>
            <a:ext uri="{FF2B5EF4-FFF2-40B4-BE49-F238E27FC236}">
              <a16:creationId xmlns:a16="http://schemas.microsoft.com/office/drawing/2014/main" id="{8608252C-BCC4-4D12-A56B-9E060CFE0E25}"/>
            </a:ext>
          </a:extLst>
        </xdr:cNvPr>
        <xdr:cNvSpPr/>
      </xdr:nvSpPr>
      <xdr:spPr bwMode="auto">
        <a:xfrm>
          <a:off x="14382750" y="7498587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348</xdr:row>
      <xdr:rowOff>119378</xdr:rowOff>
    </xdr:from>
    <xdr:to>
      <xdr:col>20</xdr:col>
      <xdr:colOff>63500</xdr:colOff>
      <xdr:row>348</xdr:row>
      <xdr:rowOff>182878</xdr:rowOff>
    </xdr:to>
    <xdr:sp macro="" textlink="">
      <xdr:nvSpPr>
        <xdr:cNvPr id="1171" name="nuNumber: 1200" hidden="1">
          <a:extLst>
            <a:ext uri="{FF2B5EF4-FFF2-40B4-BE49-F238E27FC236}">
              <a16:creationId xmlns:a16="http://schemas.microsoft.com/office/drawing/2014/main" id="{DB7FD4F6-5528-42B4-BBD1-14D5E618463B}"/>
            </a:ext>
          </a:extLst>
        </xdr:cNvPr>
        <xdr:cNvSpPr/>
      </xdr:nvSpPr>
      <xdr:spPr bwMode="auto">
        <a:xfrm>
          <a:off x="15135225" y="7498587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348</xdr:row>
      <xdr:rowOff>119378</xdr:rowOff>
    </xdr:from>
    <xdr:to>
      <xdr:col>21</xdr:col>
      <xdr:colOff>63500</xdr:colOff>
      <xdr:row>348</xdr:row>
      <xdr:rowOff>182878</xdr:rowOff>
    </xdr:to>
    <xdr:sp macro="" textlink="">
      <xdr:nvSpPr>
        <xdr:cNvPr id="1172" name="nuNumber: 1201" hidden="1">
          <a:extLst>
            <a:ext uri="{FF2B5EF4-FFF2-40B4-BE49-F238E27FC236}">
              <a16:creationId xmlns:a16="http://schemas.microsoft.com/office/drawing/2014/main" id="{EBAEE251-0060-42D9-9309-3800E1A7F7E8}"/>
            </a:ext>
          </a:extLst>
        </xdr:cNvPr>
        <xdr:cNvSpPr/>
      </xdr:nvSpPr>
      <xdr:spPr bwMode="auto">
        <a:xfrm>
          <a:off x="15849600" y="7498587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349</xdr:row>
      <xdr:rowOff>119382</xdr:rowOff>
    </xdr:from>
    <xdr:to>
      <xdr:col>9</xdr:col>
      <xdr:colOff>63500</xdr:colOff>
      <xdr:row>350</xdr:row>
      <xdr:rowOff>2</xdr:rowOff>
    </xdr:to>
    <xdr:sp macro="" textlink="">
      <xdr:nvSpPr>
        <xdr:cNvPr id="1173" name="nuNumber: 1202" hidden="1">
          <a:extLst>
            <a:ext uri="{FF2B5EF4-FFF2-40B4-BE49-F238E27FC236}">
              <a16:creationId xmlns:a16="http://schemas.microsoft.com/office/drawing/2014/main" id="{FF20C0B3-C640-4636-A8D7-2470755F9023}"/>
            </a:ext>
          </a:extLst>
        </xdr:cNvPr>
        <xdr:cNvSpPr/>
      </xdr:nvSpPr>
      <xdr:spPr bwMode="auto">
        <a:xfrm>
          <a:off x="6467475" y="751954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349</xdr:row>
      <xdr:rowOff>119382</xdr:rowOff>
    </xdr:from>
    <xdr:to>
      <xdr:col>12</xdr:col>
      <xdr:colOff>63500</xdr:colOff>
      <xdr:row>350</xdr:row>
      <xdr:rowOff>2</xdr:rowOff>
    </xdr:to>
    <xdr:sp macro="" textlink="">
      <xdr:nvSpPr>
        <xdr:cNvPr id="1174" name="nuNumber: 1203" hidden="1">
          <a:extLst>
            <a:ext uri="{FF2B5EF4-FFF2-40B4-BE49-F238E27FC236}">
              <a16:creationId xmlns:a16="http://schemas.microsoft.com/office/drawing/2014/main" id="{1C96C1B2-F6DC-4854-9535-5366757AA4FC}"/>
            </a:ext>
          </a:extLst>
        </xdr:cNvPr>
        <xdr:cNvSpPr/>
      </xdr:nvSpPr>
      <xdr:spPr bwMode="auto">
        <a:xfrm>
          <a:off x="8972550" y="751954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349</xdr:row>
      <xdr:rowOff>119382</xdr:rowOff>
    </xdr:from>
    <xdr:to>
      <xdr:col>14</xdr:col>
      <xdr:colOff>63500</xdr:colOff>
      <xdr:row>350</xdr:row>
      <xdr:rowOff>2</xdr:rowOff>
    </xdr:to>
    <xdr:sp macro="" textlink="">
      <xdr:nvSpPr>
        <xdr:cNvPr id="1175" name="nuNumber: 1204" hidden="1">
          <a:extLst>
            <a:ext uri="{FF2B5EF4-FFF2-40B4-BE49-F238E27FC236}">
              <a16:creationId xmlns:a16="http://schemas.microsoft.com/office/drawing/2014/main" id="{55A81921-AADA-4573-80A1-02F2048FF3E0}"/>
            </a:ext>
          </a:extLst>
        </xdr:cNvPr>
        <xdr:cNvSpPr/>
      </xdr:nvSpPr>
      <xdr:spPr bwMode="auto">
        <a:xfrm>
          <a:off x="10515600" y="751954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349</xdr:row>
      <xdr:rowOff>119382</xdr:rowOff>
    </xdr:from>
    <xdr:to>
      <xdr:col>16</xdr:col>
      <xdr:colOff>63500</xdr:colOff>
      <xdr:row>350</xdr:row>
      <xdr:rowOff>2</xdr:rowOff>
    </xdr:to>
    <xdr:sp macro="" textlink="">
      <xdr:nvSpPr>
        <xdr:cNvPr id="1176" name="nuNumber: 1205" hidden="1">
          <a:extLst>
            <a:ext uri="{FF2B5EF4-FFF2-40B4-BE49-F238E27FC236}">
              <a16:creationId xmlns:a16="http://schemas.microsoft.com/office/drawing/2014/main" id="{FE22AF52-0297-4B6C-9294-9DCB529743A5}"/>
            </a:ext>
          </a:extLst>
        </xdr:cNvPr>
        <xdr:cNvSpPr/>
      </xdr:nvSpPr>
      <xdr:spPr bwMode="auto">
        <a:xfrm>
          <a:off x="12106275" y="751954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349</xdr:row>
      <xdr:rowOff>119382</xdr:rowOff>
    </xdr:from>
    <xdr:to>
      <xdr:col>19</xdr:col>
      <xdr:colOff>63500</xdr:colOff>
      <xdr:row>350</xdr:row>
      <xdr:rowOff>2</xdr:rowOff>
    </xdr:to>
    <xdr:sp macro="" textlink="">
      <xdr:nvSpPr>
        <xdr:cNvPr id="1177" name="nuNumber: 1206" hidden="1">
          <a:extLst>
            <a:ext uri="{FF2B5EF4-FFF2-40B4-BE49-F238E27FC236}">
              <a16:creationId xmlns:a16="http://schemas.microsoft.com/office/drawing/2014/main" id="{362C4D98-13F3-467E-A1D5-7E7C3E3E0409}"/>
            </a:ext>
          </a:extLst>
        </xdr:cNvPr>
        <xdr:cNvSpPr/>
      </xdr:nvSpPr>
      <xdr:spPr bwMode="auto">
        <a:xfrm>
          <a:off x="14382750" y="751954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349</xdr:row>
      <xdr:rowOff>119382</xdr:rowOff>
    </xdr:from>
    <xdr:to>
      <xdr:col>20</xdr:col>
      <xdr:colOff>63500</xdr:colOff>
      <xdr:row>350</xdr:row>
      <xdr:rowOff>2</xdr:rowOff>
    </xdr:to>
    <xdr:sp macro="" textlink="">
      <xdr:nvSpPr>
        <xdr:cNvPr id="1178" name="nuNumber: 1207" hidden="1">
          <a:extLst>
            <a:ext uri="{FF2B5EF4-FFF2-40B4-BE49-F238E27FC236}">
              <a16:creationId xmlns:a16="http://schemas.microsoft.com/office/drawing/2014/main" id="{FE8CBB54-85E4-4211-8113-024B7715D209}"/>
            </a:ext>
          </a:extLst>
        </xdr:cNvPr>
        <xdr:cNvSpPr/>
      </xdr:nvSpPr>
      <xdr:spPr bwMode="auto">
        <a:xfrm>
          <a:off x="15135225" y="751954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349</xdr:row>
      <xdr:rowOff>119382</xdr:rowOff>
    </xdr:from>
    <xdr:to>
      <xdr:col>21</xdr:col>
      <xdr:colOff>63500</xdr:colOff>
      <xdr:row>350</xdr:row>
      <xdr:rowOff>2</xdr:rowOff>
    </xdr:to>
    <xdr:sp macro="" textlink="">
      <xdr:nvSpPr>
        <xdr:cNvPr id="1179" name="nuNumber: 1208" hidden="1">
          <a:extLst>
            <a:ext uri="{FF2B5EF4-FFF2-40B4-BE49-F238E27FC236}">
              <a16:creationId xmlns:a16="http://schemas.microsoft.com/office/drawing/2014/main" id="{055B69E9-FA27-4683-8BDB-F5402DF60056}"/>
            </a:ext>
          </a:extLst>
        </xdr:cNvPr>
        <xdr:cNvSpPr/>
      </xdr:nvSpPr>
      <xdr:spPr bwMode="auto">
        <a:xfrm>
          <a:off x="15849600" y="751954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350</xdr:row>
      <xdr:rowOff>119381</xdr:rowOff>
    </xdr:from>
    <xdr:to>
      <xdr:col>9</xdr:col>
      <xdr:colOff>63500</xdr:colOff>
      <xdr:row>351</xdr:row>
      <xdr:rowOff>1</xdr:rowOff>
    </xdr:to>
    <xdr:sp macro="" textlink="">
      <xdr:nvSpPr>
        <xdr:cNvPr id="1180" name="nuNumber: 1209" hidden="1">
          <a:extLst>
            <a:ext uri="{FF2B5EF4-FFF2-40B4-BE49-F238E27FC236}">
              <a16:creationId xmlns:a16="http://schemas.microsoft.com/office/drawing/2014/main" id="{B6B94116-5D50-410B-89B2-E6BB42F3E904}"/>
            </a:ext>
          </a:extLst>
        </xdr:cNvPr>
        <xdr:cNvSpPr/>
      </xdr:nvSpPr>
      <xdr:spPr bwMode="auto">
        <a:xfrm>
          <a:off x="6467475" y="754049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350</xdr:row>
      <xdr:rowOff>119381</xdr:rowOff>
    </xdr:from>
    <xdr:to>
      <xdr:col>12</xdr:col>
      <xdr:colOff>63500</xdr:colOff>
      <xdr:row>351</xdr:row>
      <xdr:rowOff>1</xdr:rowOff>
    </xdr:to>
    <xdr:sp macro="" textlink="">
      <xdr:nvSpPr>
        <xdr:cNvPr id="1181" name="nuNumber: 1210" hidden="1">
          <a:extLst>
            <a:ext uri="{FF2B5EF4-FFF2-40B4-BE49-F238E27FC236}">
              <a16:creationId xmlns:a16="http://schemas.microsoft.com/office/drawing/2014/main" id="{C167B368-23E5-411F-AAF4-AC7E148A019D}"/>
            </a:ext>
          </a:extLst>
        </xdr:cNvPr>
        <xdr:cNvSpPr/>
      </xdr:nvSpPr>
      <xdr:spPr bwMode="auto">
        <a:xfrm>
          <a:off x="8972550" y="754049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350</xdr:row>
      <xdr:rowOff>119381</xdr:rowOff>
    </xdr:from>
    <xdr:to>
      <xdr:col>14</xdr:col>
      <xdr:colOff>63500</xdr:colOff>
      <xdr:row>351</xdr:row>
      <xdr:rowOff>1</xdr:rowOff>
    </xdr:to>
    <xdr:sp macro="" textlink="">
      <xdr:nvSpPr>
        <xdr:cNvPr id="1182" name="nuNumber: 1211" hidden="1">
          <a:extLst>
            <a:ext uri="{FF2B5EF4-FFF2-40B4-BE49-F238E27FC236}">
              <a16:creationId xmlns:a16="http://schemas.microsoft.com/office/drawing/2014/main" id="{058237BA-BB46-4D06-8F49-2F32F008930B}"/>
            </a:ext>
          </a:extLst>
        </xdr:cNvPr>
        <xdr:cNvSpPr/>
      </xdr:nvSpPr>
      <xdr:spPr bwMode="auto">
        <a:xfrm>
          <a:off x="10515600" y="754049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350</xdr:row>
      <xdr:rowOff>119381</xdr:rowOff>
    </xdr:from>
    <xdr:to>
      <xdr:col>16</xdr:col>
      <xdr:colOff>63500</xdr:colOff>
      <xdr:row>351</xdr:row>
      <xdr:rowOff>1</xdr:rowOff>
    </xdr:to>
    <xdr:sp macro="" textlink="">
      <xdr:nvSpPr>
        <xdr:cNvPr id="1183" name="nuNumber: 1212" hidden="1">
          <a:extLst>
            <a:ext uri="{FF2B5EF4-FFF2-40B4-BE49-F238E27FC236}">
              <a16:creationId xmlns:a16="http://schemas.microsoft.com/office/drawing/2014/main" id="{C8192B4C-C608-474B-8496-C6D501C0A81A}"/>
            </a:ext>
          </a:extLst>
        </xdr:cNvPr>
        <xdr:cNvSpPr/>
      </xdr:nvSpPr>
      <xdr:spPr bwMode="auto">
        <a:xfrm>
          <a:off x="12106275" y="754049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350</xdr:row>
      <xdr:rowOff>119381</xdr:rowOff>
    </xdr:from>
    <xdr:to>
      <xdr:col>19</xdr:col>
      <xdr:colOff>63500</xdr:colOff>
      <xdr:row>351</xdr:row>
      <xdr:rowOff>1</xdr:rowOff>
    </xdr:to>
    <xdr:sp macro="" textlink="">
      <xdr:nvSpPr>
        <xdr:cNvPr id="1184" name="nuNumber: 1213" hidden="1">
          <a:extLst>
            <a:ext uri="{FF2B5EF4-FFF2-40B4-BE49-F238E27FC236}">
              <a16:creationId xmlns:a16="http://schemas.microsoft.com/office/drawing/2014/main" id="{8061B7BB-DD11-457C-967B-375B7EAEDDDB}"/>
            </a:ext>
          </a:extLst>
        </xdr:cNvPr>
        <xdr:cNvSpPr/>
      </xdr:nvSpPr>
      <xdr:spPr bwMode="auto">
        <a:xfrm>
          <a:off x="14382750" y="754049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350</xdr:row>
      <xdr:rowOff>119381</xdr:rowOff>
    </xdr:from>
    <xdr:to>
      <xdr:col>20</xdr:col>
      <xdr:colOff>63500</xdr:colOff>
      <xdr:row>351</xdr:row>
      <xdr:rowOff>1</xdr:rowOff>
    </xdr:to>
    <xdr:sp macro="" textlink="">
      <xdr:nvSpPr>
        <xdr:cNvPr id="1185" name="nuNumber: 1214" hidden="1">
          <a:extLst>
            <a:ext uri="{FF2B5EF4-FFF2-40B4-BE49-F238E27FC236}">
              <a16:creationId xmlns:a16="http://schemas.microsoft.com/office/drawing/2014/main" id="{4EC48CD9-0C47-4147-BE3A-2B843EC15959}"/>
            </a:ext>
          </a:extLst>
        </xdr:cNvPr>
        <xdr:cNvSpPr/>
      </xdr:nvSpPr>
      <xdr:spPr bwMode="auto">
        <a:xfrm>
          <a:off x="15135225" y="754049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350</xdr:row>
      <xdr:rowOff>119381</xdr:rowOff>
    </xdr:from>
    <xdr:to>
      <xdr:col>21</xdr:col>
      <xdr:colOff>63500</xdr:colOff>
      <xdr:row>351</xdr:row>
      <xdr:rowOff>1</xdr:rowOff>
    </xdr:to>
    <xdr:sp macro="" textlink="">
      <xdr:nvSpPr>
        <xdr:cNvPr id="1186" name="nuNumber: 1215" hidden="1">
          <a:extLst>
            <a:ext uri="{FF2B5EF4-FFF2-40B4-BE49-F238E27FC236}">
              <a16:creationId xmlns:a16="http://schemas.microsoft.com/office/drawing/2014/main" id="{ACB87BF0-7877-4520-BE95-D7E5B63AB35C}"/>
            </a:ext>
          </a:extLst>
        </xdr:cNvPr>
        <xdr:cNvSpPr/>
      </xdr:nvSpPr>
      <xdr:spPr bwMode="auto">
        <a:xfrm>
          <a:off x="15849600" y="754049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352</xdr:row>
      <xdr:rowOff>119379</xdr:rowOff>
    </xdr:from>
    <xdr:to>
      <xdr:col>19</xdr:col>
      <xdr:colOff>63500</xdr:colOff>
      <xdr:row>352</xdr:row>
      <xdr:rowOff>182879</xdr:rowOff>
    </xdr:to>
    <xdr:sp macro="" textlink="">
      <xdr:nvSpPr>
        <xdr:cNvPr id="1187" name="nuNumber: 1216" hidden="1">
          <a:extLst>
            <a:ext uri="{FF2B5EF4-FFF2-40B4-BE49-F238E27FC236}">
              <a16:creationId xmlns:a16="http://schemas.microsoft.com/office/drawing/2014/main" id="{AA5044E6-1A74-4539-ACF8-384CC4F5B2A6}"/>
            </a:ext>
          </a:extLst>
        </xdr:cNvPr>
        <xdr:cNvSpPr/>
      </xdr:nvSpPr>
      <xdr:spPr bwMode="auto">
        <a:xfrm>
          <a:off x="14382750" y="758240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352</xdr:row>
      <xdr:rowOff>119379</xdr:rowOff>
    </xdr:from>
    <xdr:to>
      <xdr:col>21</xdr:col>
      <xdr:colOff>63500</xdr:colOff>
      <xdr:row>352</xdr:row>
      <xdr:rowOff>182879</xdr:rowOff>
    </xdr:to>
    <xdr:sp macro="" textlink="">
      <xdr:nvSpPr>
        <xdr:cNvPr id="1188" name="nuNumber: 1217" hidden="1">
          <a:extLst>
            <a:ext uri="{FF2B5EF4-FFF2-40B4-BE49-F238E27FC236}">
              <a16:creationId xmlns:a16="http://schemas.microsoft.com/office/drawing/2014/main" id="{2ECFFACB-01E2-48A3-9099-7AF2F76D8A3D}"/>
            </a:ext>
          </a:extLst>
        </xdr:cNvPr>
        <xdr:cNvSpPr/>
      </xdr:nvSpPr>
      <xdr:spPr bwMode="auto">
        <a:xfrm>
          <a:off x="15849600" y="758240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353</xdr:row>
      <xdr:rowOff>119378</xdr:rowOff>
    </xdr:from>
    <xdr:to>
      <xdr:col>19</xdr:col>
      <xdr:colOff>63500</xdr:colOff>
      <xdr:row>353</xdr:row>
      <xdr:rowOff>182878</xdr:rowOff>
    </xdr:to>
    <xdr:sp macro="" textlink="">
      <xdr:nvSpPr>
        <xdr:cNvPr id="1189" name="nuNumber: 1218" hidden="1">
          <a:extLst>
            <a:ext uri="{FF2B5EF4-FFF2-40B4-BE49-F238E27FC236}">
              <a16:creationId xmlns:a16="http://schemas.microsoft.com/office/drawing/2014/main" id="{1DAAD262-DAF8-4940-8E6B-EB5E65103153}"/>
            </a:ext>
          </a:extLst>
        </xdr:cNvPr>
        <xdr:cNvSpPr/>
      </xdr:nvSpPr>
      <xdr:spPr bwMode="auto">
        <a:xfrm>
          <a:off x="14382750" y="760336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353</xdr:row>
      <xdr:rowOff>119378</xdr:rowOff>
    </xdr:from>
    <xdr:to>
      <xdr:col>21</xdr:col>
      <xdr:colOff>63500</xdr:colOff>
      <xdr:row>353</xdr:row>
      <xdr:rowOff>182878</xdr:rowOff>
    </xdr:to>
    <xdr:sp macro="" textlink="">
      <xdr:nvSpPr>
        <xdr:cNvPr id="1190" name="nuNumber: 1219" hidden="1">
          <a:extLst>
            <a:ext uri="{FF2B5EF4-FFF2-40B4-BE49-F238E27FC236}">
              <a16:creationId xmlns:a16="http://schemas.microsoft.com/office/drawing/2014/main" id="{B2912E8E-B152-4680-BA3F-0523414A8C24}"/>
            </a:ext>
          </a:extLst>
        </xdr:cNvPr>
        <xdr:cNvSpPr/>
      </xdr:nvSpPr>
      <xdr:spPr bwMode="auto">
        <a:xfrm>
          <a:off x="15849600" y="760336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354</xdr:row>
      <xdr:rowOff>119382</xdr:rowOff>
    </xdr:from>
    <xdr:to>
      <xdr:col>19</xdr:col>
      <xdr:colOff>63500</xdr:colOff>
      <xdr:row>355</xdr:row>
      <xdr:rowOff>2</xdr:rowOff>
    </xdr:to>
    <xdr:sp macro="" textlink="">
      <xdr:nvSpPr>
        <xdr:cNvPr id="1191" name="nuNumber: 1220" hidden="1">
          <a:extLst>
            <a:ext uri="{FF2B5EF4-FFF2-40B4-BE49-F238E27FC236}">
              <a16:creationId xmlns:a16="http://schemas.microsoft.com/office/drawing/2014/main" id="{D36AC545-E51F-4D70-A5C7-B3DB1837BD75}"/>
            </a:ext>
          </a:extLst>
        </xdr:cNvPr>
        <xdr:cNvSpPr/>
      </xdr:nvSpPr>
      <xdr:spPr bwMode="auto">
        <a:xfrm>
          <a:off x="14382750" y="762431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354</xdr:row>
      <xdr:rowOff>119382</xdr:rowOff>
    </xdr:from>
    <xdr:to>
      <xdr:col>21</xdr:col>
      <xdr:colOff>63500</xdr:colOff>
      <xdr:row>355</xdr:row>
      <xdr:rowOff>2</xdr:rowOff>
    </xdr:to>
    <xdr:sp macro="" textlink="">
      <xdr:nvSpPr>
        <xdr:cNvPr id="1192" name="nuNumber: 1221" hidden="1">
          <a:extLst>
            <a:ext uri="{FF2B5EF4-FFF2-40B4-BE49-F238E27FC236}">
              <a16:creationId xmlns:a16="http://schemas.microsoft.com/office/drawing/2014/main" id="{3A5DED3D-AEBD-4F7B-864E-8C2D32FAA05B}"/>
            </a:ext>
          </a:extLst>
        </xdr:cNvPr>
        <xdr:cNvSpPr/>
      </xdr:nvSpPr>
      <xdr:spPr bwMode="auto">
        <a:xfrm>
          <a:off x="15849600" y="762431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355</xdr:row>
      <xdr:rowOff>119381</xdr:rowOff>
    </xdr:from>
    <xdr:to>
      <xdr:col>19</xdr:col>
      <xdr:colOff>63500</xdr:colOff>
      <xdr:row>356</xdr:row>
      <xdr:rowOff>1</xdr:rowOff>
    </xdr:to>
    <xdr:sp macro="" textlink="">
      <xdr:nvSpPr>
        <xdr:cNvPr id="1193" name="nuNumber: 1222" hidden="1">
          <a:extLst>
            <a:ext uri="{FF2B5EF4-FFF2-40B4-BE49-F238E27FC236}">
              <a16:creationId xmlns:a16="http://schemas.microsoft.com/office/drawing/2014/main" id="{F6F69C5C-55C2-43D3-851B-BCB1429B6146}"/>
            </a:ext>
          </a:extLst>
        </xdr:cNvPr>
        <xdr:cNvSpPr/>
      </xdr:nvSpPr>
      <xdr:spPr bwMode="auto">
        <a:xfrm>
          <a:off x="14382750" y="7645273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355</xdr:row>
      <xdr:rowOff>119381</xdr:rowOff>
    </xdr:from>
    <xdr:to>
      <xdr:col>21</xdr:col>
      <xdr:colOff>63500</xdr:colOff>
      <xdr:row>356</xdr:row>
      <xdr:rowOff>1</xdr:rowOff>
    </xdr:to>
    <xdr:sp macro="" textlink="">
      <xdr:nvSpPr>
        <xdr:cNvPr id="1194" name="nuNumber: 1223" hidden="1">
          <a:extLst>
            <a:ext uri="{FF2B5EF4-FFF2-40B4-BE49-F238E27FC236}">
              <a16:creationId xmlns:a16="http://schemas.microsoft.com/office/drawing/2014/main" id="{553934B7-BDD6-46BA-8F14-801A10BC707B}"/>
            </a:ext>
          </a:extLst>
        </xdr:cNvPr>
        <xdr:cNvSpPr/>
      </xdr:nvSpPr>
      <xdr:spPr bwMode="auto">
        <a:xfrm>
          <a:off x="15849600" y="7645273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356</xdr:row>
      <xdr:rowOff>119380</xdr:rowOff>
    </xdr:from>
    <xdr:to>
      <xdr:col>19</xdr:col>
      <xdr:colOff>63500</xdr:colOff>
      <xdr:row>357</xdr:row>
      <xdr:rowOff>0</xdr:rowOff>
    </xdr:to>
    <xdr:sp macro="" textlink="">
      <xdr:nvSpPr>
        <xdr:cNvPr id="1195" name="nuNumber: 1224" hidden="1">
          <a:extLst>
            <a:ext uri="{FF2B5EF4-FFF2-40B4-BE49-F238E27FC236}">
              <a16:creationId xmlns:a16="http://schemas.microsoft.com/office/drawing/2014/main" id="{553CF329-8405-46B8-A57D-E83DECD59C67}"/>
            </a:ext>
          </a:extLst>
        </xdr:cNvPr>
        <xdr:cNvSpPr/>
      </xdr:nvSpPr>
      <xdr:spPr bwMode="auto">
        <a:xfrm>
          <a:off x="14382750" y="766622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356</xdr:row>
      <xdr:rowOff>119380</xdr:rowOff>
    </xdr:from>
    <xdr:to>
      <xdr:col>21</xdr:col>
      <xdr:colOff>63500</xdr:colOff>
      <xdr:row>357</xdr:row>
      <xdr:rowOff>0</xdr:rowOff>
    </xdr:to>
    <xdr:sp macro="" textlink="">
      <xdr:nvSpPr>
        <xdr:cNvPr id="1196" name="nuNumber: 1225" hidden="1">
          <a:extLst>
            <a:ext uri="{FF2B5EF4-FFF2-40B4-BE49-F238E27FC236}">
              <a16:creationId xmlns:a16="http://schemas.microsoft.com/office/drawing/2014/main" id="{75E2466B-786A-40D9-BE53-73FFD9E9E17D}"/>
            </a:ext>
          </a:extLst>
        </xdr:cNvPr>
        <xdr:cNvSpPr/>
      </xdr:nvSpPr>
      <xdr:spPr bwMode="auto">
        <a:xfrm>
          <a:off x="15849600" y="766622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357</xdr:row>
      <xdr:rowOff>119379</xdr:rowOff>
    </xdr:from>
    <xdr:to>
      <xdr:col>19</xdr:col>
      <xdr:colOff>63500</xdr:colOff>
      <xdr:row>357</xdr:row>
      <xdr:rowOff>182879</xdr:rowOff>
    </xdr:to>
    <xdr:sp macro="" textlink="">
      <xdr:nvSpPr>
        <xdr:cNvPr id="1197" name="nuNumber: 1226" hidden="1">
          <a:extLst>
            <a:ext uri="{FF2B5EF4-FFF2-40B4-BE49-F238E27FC236}">
              <a16:creationId xmlns:a16="http://schemas.microsoft.com/office/drawing/2014/main" id="{9C07990B-B35E-491B-B963-429771F3A3F8}"/>
            </a:ext>
          </a:extLst>
        </xdr:cNvPr>
        <xdr:cNvSpPr/>
      </xdr:nvSpPr>
      <xdr:spPr bwMode="auto">
        <a:xfrm>
          <a:off x="14382750" y="7687182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357</xdr:row>
      <xdr:rowOff>119379</xdr:rowOff>
    </xdr:from>
    <xdr:to>
      <xdr:col>21</xdr:col>
      <xdr:colOff>63500</xdr:colOff>
      <xdr:row>357</xdr:row>
      <xdr:rowOff>182879</xdr:rowOff>
    </xdr:to>
    <xdr:sp macro="" textlink="">
      <xdr:nvSpPr>
        <xdr:cNvPr id="1198" name="nuNumber: 1227" hidden="1">
          <a:extLst>
            <a:ext uri="{FF2B5EF4-FFF2-40B4-BE49-F238E27FC236}">
              <a16:creationId xmlns:a16="http://schemas.microsoft.com/office/drawing/2014/main" id="{66B2FA4F-976F-4A9A-9163-93258B52ACC0}"/>
            </a:ext>
          </a:extLst>
        </xdr:cNvPr>
        <xdr:cNvSpPr/>
      </xdr:nvSpPr>
      <xdr:spPr bwMode="auto">
        <a:xfrm>
          <a:off x="15849600" y="7687182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358</xdr:row>
      <xdr:rowOff>119378</xdr:rowOff>
    </xdr:from>
    <xdr:to>
      <xdr:col>19</xdr:col>
      <xdr:colOff>63500</xdr:colOff>
      <xdr:row>358</xdr:row>
      <xdr:rowOff>182878</xdr:rowOff>
    </xdr:to>
    <xdr:sp macro="" textlink="">
      <xdr:nvSpPr>
        <xdr:cNvPr id="1199" name="nuNumber: 1228" hidden="1">
          <a:extLst>
            <a:ext uri="{FF2B5EF4-FFF2-40B4-BE49-F238E27FC236}">
              <a16:creationId xmlns:a16="http://schemas.microsoft.com/office/drawing/2014/main" id="{CDCAB87B-6107-47D8-9127-EEFD1C185CD3}"/>
            </a:ext>
          </a:extLst>
        </xdr:cNvPr>
        <xdr:cNvSpPr/>
      </xdr:nvSpPr>
      <xdr:spPr bwMode="auto">
        <a:xfrm>
          <a:off x="14382750" y="7708137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358</xdr:row>
      <xdr:rowOff>119378</xdr:rowOff>
    </xdr:from>
    <xdr:to>
      <xdr:col>21</xdr:col>
      <xdr:colOff>63500</xdr:colOff>
      <xdr:row>358</xdr:row>
      <xdr:rowOff>182878</xdr:rowOff>
    </xdr:to>
    <xdr:sp macro="" textlink="">
      <xdr:nvSpPr>
        <xdr:cNvPr id="1200" name="nuNumber: 1229" hidden="1">
          <a:extLst>
            <a:ext uri="{FF2B5EF4-FFF2-40B4-BE49-F238E27FC236}">
              <a16:creationId xmlns:a16="http://schemas.microsoft.com/office/drawing/2014/main" id="{605225C5-1DBA-4A52-AB1E-5190AB9FA4D8}"/>
            </a:ext>
          </a:extLst>
        </xdr:cNvPr>
        <xdr:cNvSpPr/>
      </xdr:nvSpPr>
      <xdr:spPr bwMode="auto">
        <a:xfrm>
          <a:off x="15849600" y="7708137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359</xdr:row>
      <xdr:rowOff>119382</xdr:rowOff>
    </xdr:from>
    <xdr:to>
      <xdr:col>19</xdr:col>
      <xdr:colOff>63500</xdr:colOff>
      <xdr:row>360</xdr:row>
      <xdr:rowOff>2</xdr:rowOff>
    </xdr:to>
    <xdr:sp macro="" textlink="">
      <xdr:nvSpPr>
        <xdr:cNvPr id="1201" name="nuNumber: 1230" hidden="1">
          <a:extLst>
            <a:ext uri="{FF2B5EF4-FFF2-40B4-BE49-F238E27FC236}">
              <a16:creationId xmlns:a16="http://schemas.microsoft.com/office/drawing/2014/main" id="{DDC829A9-A81A-49BB-A73B-95DDE32B0352}"/>
            </a:ext>
          </a:extLst>
        </xdr:cNvPr>
        <xdr:cNvSpPr/>
      </xdr:nvSpPr>
      <xdr:spPr bwMode="auto">
        <a:xfrm>
          <a:off x="14382750" y="772909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359</xdr:row>
      <xdr:rowOff>119382</xdr:rowOff>
    </xdr:from>
    <xdr:to>
      <xdr:col>21</xdr:col>
      <xdr:colOff>63500</xdr:colOff>
      <xdr:row>360</xdr:row>
      <xdr:rowOff>2</xdr:rowOff>
    </xdr:to>
    <xdr:sp macro="" textlink="">
      <xdr:nvSpPr>
        <xdr:cNvPr id="1202" name="nuNumber: 1231" hidden="1">
          <a:extLst>
            <a:ext uri="{FF2B5EF4-FFF2-40B4-BE49-F238E27FC236}">
              <a16:creationId xmlns:a16="http://schemas.microsoft.com/office/drawing/2014/main" id="{E2DB1B5F-B986-4645-8A82-04C3FA587B81}"/>
            </a:ext>
          </a:extLst>
        </xdr:cNvPr>
        <xdr:cNvSpPr/>
      </xdr:nvSpPr>
      <xdr:spPr bwMode="auto">
        <a:xfrm>
          <a:off x="15849600" y="772909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521</xdr:row>
      <xdr:rowOff>119378</xdr:rowOff>
    </xdr:from>
    <xdr:to>
      <xdr:col>10</xdr:col>
      <xdr:colOff>63500</xdr:colOff>
      <xdr:row>521</xdr:row>
      <xdr:rowOff>182878</xdr:rowOff>
    </xdr:to>
    <xdr:sp macro="" textlink="">
      <xdr:nvSpPr>
        <xdr:cNvPr id="1203" name="nuNumber: 1232" hidden="1">
          <a:extLst>
            <a:ext uri="{FF2B5EF4-FFF2-40B4-BE49-F238E27FC236}">
              <a16:creationId xmlns:a16="http://schemas.microsoft.com/office/drawing/2014/main" id="{EB59F498-95A7-4F57-B134-618A4D0F8509}"/>
            </a:ext>
          </a:extLst>
        </xdr:cNvPr>
        <xdr:cNvSpPr/>
      </xdr:nvSpPr>
      <xdr:spPr bwMode="auto">
        <a:xfrm>
          <a:off x="7315200" y="11137137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521</xdr:row>
      <xdr:rowOff>119378</xdr:rowOff>
    </xdr:from>
    <xdr:to>
      <xdr:col>11</xdr:col>
      <xdr:colOff>63500</xdr:colOff>
      <xdr:row>521</xdr:row>
      <xdr:rowOff>182878</xdr:rowOff>
    </xdr:to>
    <xdr:sp macro="" textlink="">
      <xdr:nvSpPr>
        <xdr:cNvPr id="1204" name="nuNumber: 1233" hidden="1">
          <a:extLst>
            <a:ext uri="{FF2B5EF4-FFF2-40B4-BE49-F238E27FC236}">
              <a16:creationId xmlns:a16="http://schemas.microsoft.com/office/drawing/2014/main" id="{F8C133B3-B613-47FE-9933-047B0EE9CE04}"/>
            </a:ext>
          </a:extLst>
        </xdr:cNvPr>
        <xdr:cNvSpPr/>
      </xdr:nvSpPr>
      <xdr:spPr bwMode="auto">
        <a:xfrm>
          <a:off x="8105775" y="11137137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521</xdr:row>
      <xdr:rowOff>119378</xdr:rowOff>
    </xdr:from>
    <xdr:to>
      <xdr:col>12</xdr:col>
      <xdr:colOff>63500</xdr:colOff>
      <xdr:row>521</xdr:row>
      <xdr:rowOff>182878</xdr:rowOff>
    </xdr:to>
    <xdr:sp macro="" textlink="">
      <xdr:nvSpPr>
        <xdr:cNvPr id="1205" name="nuNumber: 1234" hidden="1">
          <a:extLst>
            <a:ext uri="{FF2B5EF4-FFF2-40B4-BE49-F238E27FC236}">
              <a16:creationId xmlns:a16="http://schemas.microsoft.com/office/drawing/2014/main" id="{9D20F3B9-582A-4780-9EF1-136D267DB6A3}"/>
            </a:ext>
          </a:extLst>
        </xdr:cNvPr>
        <xdr:cNvSpPr/>
      </xdr:nvSpPr>
      <xdr:spPr bwMode="auto">
        <a:xfrm>
          <a:off x="8972550" y="11137137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521</xdr:row>
      <xdr:rowOff>119378</xdr:rowOff>
    </xdr:from>
    <xdr:to>
      <xdr:col>17</xdr:col>
      <xdr:colOff>63500</xdr:colOff>
      <xdr:row>521</xdr:row>
      <xdr:rowOff>182878</xdr:rowOff>
    </xdr:to>
    <xdr:sp macro="" textlink="">
      <xdr:nvSpPr>
        <xdr:cNvPr id="1206" name="nuNumber: 1235" hidden="1">
          <a:extLst>
            <a:ext uri="{FF2B5EF4-FFF2-40B4-BE49-F238E27FC236}">
              <a16:creationId xmlns:a16="http://schemas.microsoft.com/office/drawing/2014/main" id="{6F06EFFA-CD8A-448B-B8F4-6C20964A961D}"/>
            </a:ext>
          </a:extLst>
        </xdr:cNvPr>
        <xdr:cNvSpPr/>
      </xdr:nvSpPr>
      <xdr:spPr bwMode="auto">
        <a:xfrm>
          <a:off x="12887325" y="11137137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521</xdr:row>
      <xdr:rowOff>119378</xdr:rowOff>
    </xdr:from>
    <xdr:to>
      <xdr:col>20</xdr:col>
      <xdr:colOff>63500</xdr:colOff>
      <xdr:row>521</xdr:row>
      <xdr:rowOff>182878</xdr:rowOff>
    </xdr:to>
    <xdr:sp macro="" textlink="">
      <xdr:nvSpPr>
        <xdr:cNvPr id="1207" name="nuNumber: 1236" hidden="1">
          <a:extLst>
            <a:ext uri="{FF2B5EF4-FFF2-40B4-BE49-F238E27FC236}">
              <a16:creationId xmlns:a16="http://schemas.microsoft.com/office/drawing/2014/main" id="{1A1C3518-6974-4249-B138-39F5D888FF17}"/>
            </a:ext>
          </a:extLst>
        </xdr:cNvPr>
        <xdr:cNvSpPr/>
      </xdr:nvSpPr>
      <xdr:spPr bwMode="auto">
        <a:xfrm>
          <a:off x="15135225" y="11137137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521</xdr:row>
      <xdr:rowOff>119378</xdr:rowOff>
    </xdr:from>
    <xdr:to>
      <xdr:col>21</xdr:col>
      <xdr:colOff>63500</xdr:colOff>
      <xdr:row>521</xdr:row>
      <xdr:rowOff>182878</xdr:rowOff>
    </xdr:to>
    <xdr:sp macro="" textlink="">
      <xdr:nvSpPr>
        <xdr:cNvPr id="1208" name="nuNumber: 1237" hidden="1">
          <a:extLst>
            <a:ext uri="{FF2B5EF4-FFF2-40B4-BE49-F238E27FC236}">
              <a16:creationId xmlns:a16="http://schemas.microsoft.com/office/drawing/2014/main" id="{63AD924A-4CBF-43BA-84E1-F05CE74EB0F1}"/>
            </a:ext>
          </a:extLst>
        </xdr:cNvPr>
        <xdr:cNvSpPr/>
      </xdr:nvSpPr>
      <xdr:spPr bwMode="auto">
        <a:xfrm>
          <a:off x="15849600" y="11137137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523</xdr:row>
      <xdr:rowOff>119381</xdr:rowOff>
    </xdr:from>
    <xdr:to>
      <xdr:col>10</xdr:col>
      <xdr:colOff>63500</xdr:colOff>
      <xdr:row>524</xdr:row>
      <xdr:rowOff>1</xdr:rowOff>
    </xdr:to>
    <xdr:sp macro="" textlink="">
      <xdr:nvSpPr>
        <xdr:cNvPr id="1209" name="nuNumber: 1238" hidden="1">
          <a:extLst>
            <a:ext uri="{FF2B5EF4-FFF2-40B4-BE49-F238E27FC236}">
              <a16:creationId xmlns:a16="http://schemas.microsoft.com/office/drawing/2014/main" id="{A410B90A-9579-4FF0-8C18-3CF703AD4759}"/>
            </a:ext>
          </a:extLst>
        </xdr:cNvPr>
        <xdr:cNvSpPr/>
      </xdr:nvSpPr>
      <xdr:spPr bwMode="auto">
        <a:xfrm>
          <a:off x="7315200" y="1117904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523</xdr:row>
      <xdr:rowOff>119381</xdr:rowOff>
    </xdr:from>
    <xdr:to>
      <xdr:col>11</xdr:col>
      <xdr:colOff>63500</xdr:colOff>
      <xdr:row>524</xdr:row>
      <xdr:rowOff>1</xdr:rowOff>
    </xdr:to>
    <xdr:sp macro="" textlink="">
      <xdr:nvSpPr>
        <xdr:cNvPr id="1210" name="nuNumber: 1239" hidden="1">
          <a:extLst>
            <a:ext uri="{FF2B5EF4-FFF2-40B4-BE49-F238E27FC236}">
              <a16:creationId xmlns:a16="http://schemas.microsoft.com/office/drawing/2014/main" id="{11EAB83A-F05F-4A76-B073-22956FBE6F7C}"/>
            </a:ext>
          </a:extLst>
        </xdr:cNvPr>
        <xdr:cNvSpPr/>
      </xdr:nvSpPr>
      <xdr:spPr bwMode="auto">
        <a:xfrm>
          <a:off x="8105775" y="1117904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523</xdr:row>
      <xdr:rowOff>119381</xdr:rowOff>
    </xdr:from>
    <xdr:to>
      <xdr:col>12</xdr:col>
      <xdr:colOff>63500</xdr:colOff>
      <xdr:row>524</xdr:row>
      <xdr:rowOff>1</xdr:rowOff>
    </xdr:to>
    <xdr:sp macro="" textlink="">
      <xdr:nvSpPr>
        <xdr:cNvPr id="1211" name="nuNumber: 1240" hidden="1">
          <a:extLst>
            <a:ext uri="{FF2B5EF4-FFF2-40B4-BE49-F238E27FC236}">
              <a16:creationId xmlns:a16="http://schemas.microsoft.com/office/drawing/2014/main" id="{B47B08F8-A700-47AC-987A-A33A7882696C}"/>
            </a:ext>
          </a:extLst>
        </xdr:cNvPr>
        <xdr:cNvSpPr/>
      </xdr:nvSpPr>
      <xdr:spPr bwMode="auto">
        <a:xfrm>
          <a:off x="8972550" y="1117904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523</xdr:row>
      <xdr:rowOff>119381</xdr:rowOff>
    </xdr:from>
    <xdr:to>
      <xdr:col>17</xdr:col>
      <xdr:colOff>63500</xdr:colOff>
      <xdr:row>524</xdr:row>
      <xdr:rowOff>1</xdr:rowOff>
    </xdr:to>
    <xdr:sp macro="" textlink="">
      <xdr:nvSpPr>
        <xdr:cNvPr id="1212" name="nuNumber: 1241" hidden="1">
          <a:extLst>
            <a:ext uri="{FF2B5EF4-FFF2-40B4-BE49-F238E27FC236}">
              <a16:creationId xmlns:a16="http://schemas.microsoft.com/office/drawing/2014/main" id="{6C5E1B18-77A1-4C8B-8847-5EFC05C09477}"/>
            </a:ext>
          </a:extLst>
        </xdr:cNvPr>
        <xdr:cNvSpPr/>
      </xdr:nvSpPr>
      <xdr:spPr bwMode="auto">
        <a:xfrm>
          <a:off x="12887325" y="1117904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523</xdr:row>
      <xdr:rowOff>119381</xdr:rowOff>
    </xdr:from>
    <xdr:to>
      <xdr:col>20</xdr:col>
      <xdr:colOff>63500</xdr:colOff>
      <xdr:row>524</xdr:row>
      <xdr:rowOff>1</xdr:rowOff>
    </xdr:to>
    <xdr:sp macro="" textlink="">
      <xdr:nvSpPr>
        <xdr:cNvPr id="1213" name="nuNumber: 1242" hidden="1">
          <a:extLst>
            <a:ext uri="{FF2B5EF4-FFF2-40B4-BE49-F238E27FC236}">
              <a16:creationId xmlns:a16="http://schemas.microsoft.com/office/drawing/2014/main" id="{20D38CED-F59C-4AD9-A2B6-A6616492CDFD}"/>
            </a:ext>
          </a:extLst>
        </xdr:cNvPr>
        <xdr:cNvSpPr/>
      </xdr:nvSpPr>
      <xdr:spPr bwMode="auto">
        <a:xfrm>
          <a:off x="15135225" y="1117904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523</xdr:row>
      <xdr:rowOff>119381</xdr:rowOff>
    </xdr:from>
    <xdr:to>
      <xdr:col>21</xdr:col>
      <xdr:colOff>63500</xdr:colOff>
      <xdr:row>524</xdr:row>
      <xdr:rowOff>1</xdr:rowOff>
    </xdr:to>
    <xdr:sp macro="" textlink="">
      <xdr:nvSpPr>
        <xdr:cNvPr id="1214" name="nuNumber: 1243" hidden="1">
          <a:extLst>
            <a:ext uri="{FF2B5EF4-FFF2-40B4-BE49-F238E27FC236}">
              <a16:creationId xmlns:a16="http://schemas.microsoft.com/office/drawing/2014/main" id="{B8E3476F-BBBD-4E0F-AEBA-8E3C9873EDA4}"/>
            </a:ext>
          </a:extLst>
        </xdr:cNvPr>
        <xdr:cNvSpPr/>
      </xdr:nvSpPr>
      <xdr:spPr bwMode="auto">
        <a:xfrm>
          <a:off x="15849600" y="1117904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524</xdr:row>
      <xdr:rowOff>119380</xdr:rowOff>
    </xdr:from>
    <xdr:to>
      <xdr:col>6</xdr:col>
      <xdr:colOff>63500</xdr:colOff>
      <xdr:row>525</xdr:row>
      <xdr:rowOff>0</xdr:rowOff>
    </xdr:to>
    <xdr:sp macro="" textlink="">
      <xdr:nvSpPr>
        <xdr:cNvPr id="1215" name="nuNumber: 1244" hidden="1">
          <a:extLst>
            <a:ext uri="{FF2B5EF4-FFF2-40B4-BE49-F238E27FC236}">
              <a16:creationId xmlns:a16="http://schemas.microsoft.com/office/drawing/2014/main" id="{C38D5A23-4407-4E36-8B44-26DBF4D7F0F9}"/>
            </a:ext>
          </a:extLst>
        </xdr:cNvPr>
        <xdr:cNvSpPr/>
      </xdr:nvSpPr>
      <xdr:spPr bwMode="auto">
        <a:xfrm>
          <a:off x="3800475" y="1120000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524</xdr:row>
      <xdr:rowOff>119380</xdr:rowOff>
    </xdr:from>
    <xdr:to>
      <xdr:col>10</xdr:col>
      <xdr:colOff>63500</xdr:colOff>
      <xdr:row>525</xdr:row>
      <xdr:rowOff>0</xdr:rowOff>
    </xdr:to>
    <xdr:sp macro="" textlink="">
      <xdr:nvSpPr>
        <xdr:cNvPr id="1216" name="nuNumber: 1245" hidden="1">
          <a:extLst>
            <a:ext uri="{FF2B5EF4-FFF2-40B4-BE49-F238E27FC236}">
              <a16:creationId xmlns:a16="http://schemas.microsoft.com/office/drawing/2014/main" id="{40743E20-14DE-44DC-A2D5-60669FC22E53}"/>
            </a:ext>
          </a:extLst>
        </xdr:cNvPr>
        <xdr:cNvSpPr/>
      </xdr:nvSpPr>
      <xdr:spPr bwMode="auto">
        <a:xfrm>
          <a:off x="7315200" y="1120000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524</xdr:row>
      <xdr:rowOff>119380</xdr:rowOff>
    </xdr:from>
    <xdr:to>
      <xdr:col>11</xdr:col>
      <xdr:colOff>63500</xdr:colOff>
      <xdr:row>525</xdr:row>
      <xdr:rowOff>0</xdr:rowOff>
    </xdr:to>
    <xdr:sp macro="" textlink="">
      <xdr:nvSpPr>
        <xdr:cNvPr id="1217" name="nuNumber: 1246" hidden="1">
          <a:extLst>
            <a:ext uri="{FF2B5EF4-FFF2-40B4-BE49-F238E27FC236}">
              <a16:creationId xmlns:a16="http://schemas.microsoft.com/office/drawing/2014/main" id="{B338AF72-D138-4809-A686-09589BC53DC1}"/>
            </a:ext>
          </a:extLst>
        </xdr:cNvPr>
        <xdr:cNvSpPr/>
      </xdr:nvSpPr>
      <xdr:spPr bwMode="auto">
        <a:xfrm>
          <a:off x="8105775" y="1120000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524</xdr:row>
      <xdr:rowOff>119380</xdr:rowOff>
    </xdr:from>
    <xdr:to>
      <xdr:col>12</xdr:col>
      <xdr:colOff>63500</xdr:colOff>
      <xdr:row>525</xdr:row>
      <xdr:rowOff>0</xdr:rowOff>
    </xdr:to>
    <xdr:sp macro="" textlink="">
      <xdr:nvSpPr>
        <xdr:cNvPr id="1218" name="nuNumber: 1247" hidden="1">
          <a:extLst>
            <a:ext uri="{FF2B5EF4-FFF2-40B4-BE49-F238E27FC236}">
              <a16:creationId xmlns:a16="http://schemas.microsoft.com/office/drawing/2014/main" id="{3DFB7F85-AC21-45F4-9B53-3C30B47CE4F3}"/>
            </a:ext>
          </a:extLst>
        </xdr:cNvPr>
        <xdr:cNvSpPr/>
      </xdr:nvSpPr>
      <xdr:spPr bwMode="auto">
        <a:xfrm>
          <a:off x="8972550" y="1120000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524</xdr:row>
      <xdr:rowOff>119380</xdr:rowOff>
    </xdr:from>
    <xdr:to>
      <xdr:col>17</xdr:col>
      <xdr:colOff>63500</xdr:colOff>
      <xdr:row>525</xdr:row>
      <xdr:rowOff>0</xdr:rowOff>
    </xdr:to>
    <xdr:sp macro="" textlink="">
      <xdr:nvSpPr>
        <xdr:cNvPr id="1219" name="nuNumber: 1248" hidden="1">
          <a:extLst>
            <a:ext uri="{FF2B5EF4-FFF2-40B4-BE49-F238E27FC236}">
              <a16:creationId xmlns:a16="http://schemas.microsoft.com/office/drawing/2014/main" id="{3FAFA441-5304-4993-9A40-6490160780F8}"/>
            </a:ext>
          </a:extLst>
        </xdr:cNvPr>
        <xdr:cNvSpPr/>
      </xdr:nvSpPr>
      <xdr:spPr bwMode="auto">
        <a:xfrm>
          <a:off x="12887325" y="1120000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524</xdr:row>
      <xdr:rowOff>119380</xdr:rowOff>
    </xdr:from>
    <xdr:to>
      <xdr:col>20</xdr:col>
      <xdr:colOff>63500</xdr:colOff>
      <xdr:row>525</xdr:row>
      <xdr:rowOff>0</xdr:rowOff>
    </xdr:to>
    <xdr:sp macro="" textlink="">
      <xdr:nvSpPr>
        <xdr:cNvPr id="1220" name="nuNumber: 1249" hidden="1">
          <a:extLst>
            <a:ext uri="{FF2B5EF4-FFF2-40B4-BE49-F238E27FC236}">
              <a16:creationId xmlns:a16="http://schemas.microsoft.com/office/drawing/2014/main" id="{81A21711-D9F2-4482-85E6-2A39F8E18E24}"/>
            </a:ext>
          </a:extLst>
        </xdr:cNvPr>
        <xdr:cNvSpPr/>
      </xdr:nvSpPr>
      <xdr:spPr bwMode="auto">
        <a:xfrm>
          <a:off x="15135225" y="1120000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524</xdr:row>
      <xdr:rowOff>119380</xdr:rowOff>
    </xdr:from>
    <xdr:to>
      <xdr:col>21</xdr:col>
      <xdr:colOff>63500</xdr:colOff>
      <xdr:row>525</xdr:row>
      <xdr:rowOff>0</xdr:rowOff>
    </xdr:to>
    <xdr:sp macro="" textlink="">
      <xdr:nvSpPr>
        <xdr:cNvPr id="1221" name="nuNumber: 1250" hidden="1">
          <a:extLst>
            <a:ext uri="{FF2B5EF4-FFF2-40B4-BE49-F238E27FC236}">
              <a16:creationId xmlns:a16="http://schemas.microsoft.com/office/drawing/2014/main" id="{2AEB653B-2150-4AC3-B921-63E656D62B88}"/>
            </a:ext>
          </a:extLst>
        </xdr:cNvPr>
        <xdr:cNvSpPr/>
      </xdr:nvSpPr>
      <xdr:spPr bwMode="auto">
        <a:xfrm>
          <a:off x="15849600" y="1120000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525</xdr:row>
      <xdr:rowOff>119379</xdr:rowOff>
    </xdr:from>
    <xdr:to>
      <xdr:col>6</xdr:col>
      <xdr:colOff>63500</xdr:colOff>
      <xdr:row>525</xdr:row>
      <xdr:rowOff>182879</xdr:rowOff>
    </xdr:to>
    <xdr:sp macro="" textlink="">
      <xdr:nvSpPr>
        <xdr:cNvPr id="1222" name="nuNumber: 1251" hidden="1">
          <a:extLst>
            <a:ext uri="{FF2B5EF4-FFF2-40B4-BE49-F238E27FC236}">
              <a16:creationId xmlns:a16="http://schemas.microsoft.com/office/drawing/2014/main" id="{4A1A94A1-54F7-4327-9F37-ABADA6C904ED}"/>
            </a:ext>
          </a:extLst>
        </xdr:cNvPr>
        <xdr:cNvSpPr/>
      </xdr:nvSpPr>
      <xdr:spPr bwMode="auto">
        <a:xfrm>
          <a:off x="3800475" y="1122095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525</xdr:row>
      <xdr:rowOff>119379</xdr:rowOff>
    </xdr:from>
    <xdr:to>
      <xdr:col>10</xdr:col>
      <xdr:colOff>63500</xdr:colOff>
      <xdr:row>525</xdr:row>
      <xdr:rowOff>182879</xdr:rowOff>
    </xdr:to>
    <xdr:sp macro="" textlink="">
      <xdr:nvSpPr>
        <xdr:cNvPr id="1223" name="nuNumber: 1252" hidden="1">
          <a:extLst>
            <a:ext uri="{FF2B5EF4-FFF2-40B4-BE49-F238E27FC236}">
              <a16:creationId xmlns:a16="http://schemas.microsoft.com/office/drawing/2014/main" id="{00603D20-E499-4586-A439-4D7826F7F413}"/>
            </a:ext>
          </a:extLst>
        </xdr:cNvPr>
        <xdr:cNvSpPr/>
      </xdr:nvSpPr>
      <xdr:spPr bwMode="auto">
        <a:xfrm>
          <a:off x="7315200" y="1122095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525</xdr:row>
      <xdr:rowOff>119379</xdr:rowOff>
    </xdr:from>
    <xdr:to>
      <xdr:col>11</xdr:col>
      <xdr:colOff>63500</xdr:colOff>
      <xdr:row>525</xdr:row>
      <xdr:rowOff>182879</xdr:rowOff>
    </xdr:to>
    <xdr:sp macro="" textlink="">
      <xdr:nvSpPr>
        <xdr:cNvPr id="1224" name="nuNumber: 1253" hidden="1">
          <a:extLst>
            <a:ext uri="{FF2B5EF4-FFF2-40B4-BE49-F238E27FC236}">
              <a16:creationId xmlns:a16="http://schemas.microsoft.com/office/drawing/2014/main" id="{1DC7DC07-7808-4FF6-B4C3-58690354EC80}"/>
            </a:ext>
          </a:extLst>
        </xdr:cNvPr>
        <xdr:cNvSpPr/>
      </xdr:nvSpPr>
      <xdr:spPr bwMode="auto">
        <a:xfrm>
          <a:off x="8105775" y="1122095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525</xdr:row>
      <xdr:rowOff>119379</xdr:rowOff>
    </xdr:from>
    <xdr:to>
      <xdr:col>12</xdr:col>
      <xdr:colOff>63500</xdr:colOff>
      <xdr:row>525</xdr:row>
      <xdr:rowOff>182879</xdr:rowOff>
    </xdr:to>
    <xdr:sp macro="" textlink="">
      <xdr:nvSpPr>
        <xdr:cNvPr id="1225" name="nuNumber: 1254" hidden="1">
          <a:extLst>
            <a:ext uri="{FF2B5EF4-FFF2-40B4-BE49-F238E27FC236}">
              <a16:creationId xmlns:a16="http://schemas.microsoft.com/office/drawing/2014/main" id="{04474934-B94E-4351-99B4-F3BCFEF358CD}"/>
            </a:ext>
          </a:extLst>
        </xdr:cNvPr>
        <xdr:cNvSpPr/>
      </xdr:nvSpPr>
      <xdr:spPr bwMode="auto">
        <a:xfrm>
          <a:off x="8972550" y="1122095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525</xdr:row>
      <xdr:rowOff>119379</xdr:rowOff>
    </xdr:from>
    <xdr:to>
      <xdr:col>17</xdr:col>
      <xdr:colOff>63500</xdr:colOff>
      <xdr:row>525</xdr:row>
      <xdr:rowOff>182879</xdr:rowOff>
    </xdr:to>
    <xdr:sp macro="" textlink="">
      <xdr:nvSpPr>
        <xdr:cNvPr id="1226" name="nuNumber: 1255" hidden="1">
          <a:extLst>
            <a:ext uri="{FF2B5EF4-FFF2-40B4-BE49-F238E27FC236}">
              <a16:creationId xmlns:a16="http://schemas.microsoft.com/office/drawing/2014/main" id="{39BFEC19-7AE2-4996-B2AD-C9A1FD554CF4}"/>
            </a:ext>
          </a:extLst>
        </xdr:cNvPr>
        <xdr:cNvSpPr/>
      </xdr:nvSpPr>
      <xdr:spPr bwMode="auto">
        <a:xfrm>
          <a:off x="12887325" y="1122095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525</xdr:row>
      <xdr:rowOff>119379</xdr:rowOff>
    </xdr:from>
    <xdr:to>
      <xdr:col>20</xdr:col>
      <xdr:colOff>63500</xdr:colOff>
      <xdr:row>525</xdr:row>
      <xdr:rowOff>182879</xdr:rowOff>
    </xdr:to>
    <xdr:sp macro="" textlink="">
      <xdr:nvSpPr>
        <xdr:cNvPr id="1227" name="nuNumber: 1256" hidden="1">
          <a:extLst>
            <a:ext uri="{FF2B5EF4-FFF2-40B4-BE49-F238E27FC236}">
              <a16:creationId xmlns:a16="http://schemas.microsoft.com/office/drawing/2014/main" id="{AAAC6732-08FC-40B2-8D75-007CAFD73ACD}"/>
            </a:ext>
          </a:extLst>
        </xdr:cNvPr>
        <xdr:cNvSpPr/>
      </xdr:nvSpPr>
      <xdr:spPr bwMode="auto">
        <a:xfrm>
          <a:off x="15135225" y="1122095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525</xdr:row>
      <xdr:rowOff>119379</xdr:rowOff>
    </xdr:from>
    <xdr:to>
      <xdr:col>21</xdr:col>
      <xdr:colOff>63500</xdr:colOff>
      <xdr:row>525</xdr:row>
      <xdr:rowOff>182879</xdr:rowOff>
    </xdr:to>
    <xdr:sp macro="" textlink="">
      <xdr:nvSpPr>
        <xdr:cNvPr id="1228" name="nuNumber: 1257" hidden="1">
          <a:extLst>
            <a:ext uri="{FF2B5EF4-FFF2-40B4-BE49-F238E27FC236}">
              <a16:creationId xmlns:a16="http://schemas.microsoft.com/office/drawing/2014/main" id="{3841AF09-B781-4815-A355-74689D222B4B}"/>
            </a:ext>
          </a:extLst>
        </xdr:cNvPr>
        <xdr:cNvSpPr/>
      </xdr:nvSpPr>
      <xdr:spPr bwMode="auto">
        <a:xfrm>
          <a:off x="15849600" y="1122095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526</xdr:row>
      <xdr:rowOff>119378</xdr:rowOff>
    </xdr:from>
    <xdr:to>
      <xdr:col>10</xdr:col>
      <xdr:colOff>63500</xdr:colOff>
      <xdr:row>526</xdr:row>
      <xdr:rowOff>182878</xdr:rowOff>
    </xdr:to>
    <xdr:sp macro="" textlink="">
      <xdr:nvSpPr>
        <xdr:cNvPr id="1229" name="nuNumber: 1258" hidden="1">
          <a:extLst>
            <a:ext uri="{FF2B5EF4-FFF2-40B4-BE49-F238E27FC236}">
              <a16:creationId xmlns:a16="http://schemas.microsoft.com/office/drawing/2014/main" id="{17F0D08B-2856-463A-804B-96E661E7A60E}"/>
            </a:ext>
          </a:extLst>
        </xdr:cNvPr>
        <xdr:cNvSpPr/>
      </xdr:nvSpPr>
      <xdr:spPr bwMode="auto">
        <a:xfrm>
          <a:off x="7315200" y="1124191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526</xdr:row>
      <xdr:rowOff>119378</xdr:rowOff>
    </xdr:from>
    <xdr:to>
      <xdr:col>11</xdr:col>
      <xdr:colOff>63500</xdr:colOff>
      <xdr:row>526</xdr:row>
      <xdr:rowOff>182878</xdr:rowOff>
    </xdr:to>
    <xdr:sp macro="" textlink="">
      <xdr:nvSpPr>
        <xdr:cNvPr id="1230" name="nuNumber: 1259" hidden="1">
          <a:extLst>
            <a:ext uri="{FF2B5EF4-FFF2-40B4-BE49-F238E27FC236}">
              <a16:creationId xmlns:a16="http://schemas.microsoft.com/office/drawing/2014/main" id="{34D5FAB0-7F51-4A09-BF31-E08603DBA6D7}"/>
            </a:ext>
          </a:extLst>
        </xdr:cNvPr>
        <xdr:cNvSpPr/>
      </xdr:nvSpPr>
      <xdr:spPr bwMode="auto">
        <a:xfrm>
          <a:off x="8105775" y="1124191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526</xdr:row>
      <xdr:rowOff>119378</xdr:rowOff>
    </xdr:from>
    <xdr:to>
      <xdr:col>12</xdr:col>
      <xdr:colOff>63500</xdr:colOff>
      <xdr:row>526</xdr:row>
      <xdr:rowOff>182878</xdr:rowOff>
    </xdr:to>
    <xdr:sp macro="" textlink="">
      <xdr:nvSpPr>
        <xdr:cNvPr id="1231" name="nuNumber: 1260" hidden="1">
          <a:extLst>
            <a:ext uri="{FF2B5EF4-FFF2-40B4-BE49-F238E27FC236}">
              <a16:creationId xmlns:a16="http://schemas.microsoft.com/office/drawing/2014/main" id="{C679C456-35C1-4FB0-A6C0-91B7A5C405A9}"/>
            </a:ext>
          </a:extLst>
        </xdr:cNvPr>
        <xdr:cNvSpPr/>
      </xdr:nvSpPr>
      <xdr:spPr bwMode="auto">
        <a:xfrm>
          <a:off x="8972550" y="1124191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526</xdr:row>
      <xdr:rowOff>119378</xdr:rowOff>
    </xdr:from>
    <xdr:to>
      <xdr:col>17</xdr:col>
      <xdr:colOff>63500</xdr:colOff>
      <xdr:row>526</xdr:row>
      <xdr:rowOff>182878</xdr:rowOff>
    </xdr:to>
    <xdr:sp macro="" textlink="">
      <xdr:nvSpPr>
        <xdr:cNvPr id="1232" name="nuNumber: 1261" hidden="1">
          <a:extLst>
            <a:ext uri="{FF2B5EF4-FFF2-40B4-BE49-F238E27FC236}">
              <a16:creationId xmlns:a16="http://schemas.microsoft.com/office/drawing/2014/main" id="{F3031EBA-9CE6-4152-B60B-E3E984B9FF56}"/>
            </a:ext>
          </a:extLst>
        </xdr:cNvPr>
        <xdr:cNvSpPr/>
      </xdr:nvSpPr>
      <xdr:spPr bwMode="auto">
        <a:xfrm>
          <a:off x="12887325" y="1124191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526</xdr:row>
      <xdr:rowOff>119378</xdr:rowOff>
    </xdr:from>
    <xdr:to>
      <xdr:col>20</xdr:col>
      <xdr:colOff>63500</xdr:colOff>
      <xdr:row>526</xdr:row>
      <xdr:rowOff>182878</xdr:rowOff>
    </xdr:to>
    <xdr:sp macro="" textlink="">
      <xdr:nvSpPr>
        <xdr:cNvPr id="1233" name="nuNumber: 1262" hidden="1">
          <a:extLst>
            <a:ext uri="{FF2B5EF4-FFF2-40B4-BE49-F238E27FC236}">
              <a16:creationId xmlns:a16="http://schemas.microsoft.com/office/drawing/2014/main" id="{A9BA64B5-DD96-4AB2-B916-431F487987C4}"/>
            </a:ext>
          </a:extLst>
        </xdr:cNvPr>
        <xdr:cNvSpPr/>
      </xdr:nvSpPr>
      <xdr:spPr bwMode="auto">
        <a:xfrm>
          <a:off x="15135225" y="1124191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526</xdr:row>
      <xdr:rowOff>119378</xdr:rowOff>
    </xdr:from>
    <xdr:to>
      <xdr:col>21</xdr:col>
      <xdr:colOff>63500</xdr:colOff>
      <xdr:row>526</xdr:row>
      <xdr:rowOff>182878</xdr:rowOff>
    </xdr:to>
    <xdr:sp macro="" textlink="">
      <xdr:nvSpPr>
        <xdr:cNvPr id="1234" name="nuNumber: 1263" hidden="1">
          <a:extLst>
            <a:ext uri="{FF2B5EF4-FFF2-40B4-BE49-F238E27FC236}">
              <a16:creationId xmlns:a16="http://schemas.microsoft.com/office/drawing/2014/main" id="{0699CB16-3B72-4939-8DE6-2B0124075A2E}"/>
            </a:ext>
          </a:extLst>
        </xdr:cNvPr>
        <xdr:cNvSpPr/>
      </xdr:nvSpPr>
      <xdr:spPr bwMode="auto">
        <a:xfrm>
          <a:off x="15849600" y="1124191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527</xdr:row>
      <xdr:rowOff>119382</xdr:rowOff>
    </xdr:from>
    <xdr:to>
      <xdr:col>10</xdr:col>
      <xdr:colOff>63500</xdr:colOff>
      <xdr:row>528</xdr:row>
      <xdr:rowOff>2</xdr:rowOff>
    </xdr:to>
    <xdr:sp macro="" textlink="">
      <xdr:nvSpPr>
        <xdr:cNvPr id="1235" name="nuNumber: 1264" hidden="1">
          <a:extLst>
            <a:ext uri="{FF2B5EF4-FFF2-40B4-BE49-F238E27FC236}">
              <a16:creationId xmlns:a16="http://schemas.microsoft.com/office/drawing/2014/main" id="{9EE404FF-D52C-4B52-AB40-4C255690D78D}"/>
            </a:ext>
          </a:extLst>
        </xdr:cNvPr>
        <xdr:cNvSpPr/>
      </xdr:nvSpPr>
      <xdr:spPr bwMode="auto">
        <a:xfrm>
          <a:off x="7315200" y="1126286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527</xdr:row>
      <xdr:rowOff>119382</xdr:rowOff>
    </xdr:from>
    <xdr:to>
      <xdr:col>11</xdr:col>
      <xdr:colOff>63500</xdr:colOff>
      <xdr:row>528</xdr:row>
      <xdr:rowOff>2</xdr:rowOff>
    </xdr:to>
    <xdr:sp macro="" textlink="">
      <xdr:nvSpPr>
        <xdr:cNvPr id="1236" name="nuNumber: 1265" hidden="1">
          <a:extLst>
            <a:ext uri="{FF2B5EF4-FFF2-40B4-BE49-F238E27FC236}">
              <a16:creationId xmlns:a16="http://schemas.microsoft.com/office/drawing/2014/main" id="{94732B4C-99B9-4046-86DB-F48ECE3B2EA2}"/>
            </a:ext>
          </a:extLst>
        </xdr:cNvPr>
        <xdr:cNvSpPr/>
      </xdr:nvSpPr>
      <xdr:spPr bwMode="auto">
        <a:xfrm>
          <a:off x="8105775" y="1126286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527</xdr:row>
      <xdr:rowOff>119382</xdr:rowOff>
    </xdr:from>
    <xdr:to>
      <xdr:col>12</xdr:col>
      <xdr:colOff>63500</xdr:colOff>
      <xdr:row>528</xdr:row>
      <xdr:rowOff>2</xdr:rowOff>
    </xdr:to>
    <xdr:sp macro="" textlink="">
      <xdr:nvSpPr>
        <xdr:cNvPr id="1237" name="nuNumber: 1266" hidden="1">
          <a:extLst>
            <a:ext uri="{FF2B5EF4-FFF2-40B4-BE49-F238E27FC236}">
              <a16:creationId xmlns:a16="http://schemas.microsoft.com/office/drawing/2014/main" id="{E56F9091-48BB-4F8E-9731-69576B2FAAF0}"/>
            </a:ext>
          </a:extLst>
        </xdr:cNvPr>
        <xdr:cNvSpPr/>
      </xdr:nvSpPr>
      <xdr:spPr bwMode="auto">
        <a:xfrm>
          <a:off x="8972550" y="1126286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527</xdr:row>
      <xdr:rowOff>119382</xdr:rowOff>
    </xdr:from>
    <xdr:to>
      <xdr:col>17</xdr:col>
      <xdr:colOff>63500</xdr:colOff>
      <xdr:row>528</xdr:row>
      <xdr:rowOff>2</xdr:rowOff>
    </xdr:to>
    <xdr:sp macro="" textlink="">
      <xdr:nvSpPr>
        <xdr:cNvPr id="1238" name="nuNumber: 1267" hidden="1">
          <a:extLst>
            <a:ext uri="{FF2B5EF4-FFF2-40B4-BE49-F238E27FC236}">
              <a16:creationId xmlns:a16="http://schemas.microsoft.com/office/drawing/2014/main" id="{5567B673-EC97-43D3-87CD-521A2D151EDE}"/>
            </a:ext>
          </a:extLst>
        </xdr:cNvPr>
        <xdr:cNvSpPr/>
      </xdr:nvSpPr>
      <xdr:spPr bwMode="auto">
        <a:xfrm>
          <a:off x="12887325" y="1126286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527</xdr:row>
      <xdr:rowOff>119382</xdr:rowOff>
    </xdr:from>
    <xdr:to>
      <xdr:col>20</xdr:col>
      <xdr:colOff>63500</xdr:colOff>
      <xdr:row>528</xdr:row>
      <xdr:rowOff>2</xdr:rowOff>
    </xdr:to>
    <xdr:sp macro="" textlink="">
      <xdr:nvSpPr>
        <xdr:cNvPr id="1239" name="nuNumber: 1268" hidden="1">
          <a:extLst>
            <a:ext uri="{FF2B5EF4-FFF2-40B4-BE49-F238E27FC236}">
              <a16:creationId xmlns:a16="http://schemas.microsoft.com/office/drawing/2014/main" id="{8027F4A9-B22C-4670-A976-F1CF5F3BE937}"/>
            </a:ext>
          </a:extLst>
        </xdr:cNvPr>
        <xdr:cNvSpPr/>
      </xdr:nvSpPr>
      <xdr:spPr bwMode="auto">
        <a:xfrm>
          <a:off x="15135225" y="1126286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527</xdr:row>
      <xdr:rowOff>119382</xdr:rowOff>
    </xdr:from>
    <xdr:to>
      <xdr:col>21</xdr:col>
      <xdr:colOff>63500</xdr:colOff>
      <xdr:row>528</xdr:row>
      <xdr:rowOff>2</xdr:rowOff>
    </xdr:to>
    <xdr:sp macro="" textlink="">
      <xdr:nvSpPr>
        <xdr:cNvPr id="1240" name="nuNumber: 1269" hidden="1">
          <a:extLst>
            <a:ext uri="{FF2B5EF4-FFF2-40B4-BE49-F238E27FC236}">
              <a16:creationId xmlns:a16="http://schemas.microsoft.com/office/drawing/2014/main" id="{58706329-9150-414D-9EA4-C0A2B42CA0F2}"/>
            </a:ext>
          </a:extLst>
        </xdr:cNvPr>
        <xdr:cNvSpPr/>
      </xdr:nvSpPr>
      <xdr:spPr bwMode="auto">
        <a:xfrm>
          <a:off x="15849600" y="1126286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544</xdr:row>
      <xdr:rowOff>119379</xdr:rowOff>
    </xdr:from>
    <xdr:to>
      <xdr:col>12</xdr:col>
      <xdr:colOff>63500</xdr:colOff>
      <xdr:row>544</xdr:row>
      <xdr:rowOff>182879</xdr:rowOff>
    </xdr:to>
    <xdr:sp macro="" textlink="">
      <xdr:nvSpPr>
        <xdr:cNvPr id="1241" name="nuNumber: 1270" hidden="1">
          <a:extLst>
            <a:ext uri="{FF2B5EF4-FFF2-40B4-BE49-F238E27FC236}">
              <a16:creationId xmlns:a16="http://schemas.microsoft.com/office/drawing/2014/main" id="{5C4A2B7C-D8C6-4ECA-90FB-39F52E3BE653}"/>
            </a:ext>
          </a:extLst>
        </xdr:cNvPr>
        <xdr:cNvSpPr/>
      </xdr:nvSpPr>
      <xdr:spPr bwMode="auto">
        <a:xfrm>
          <a:off x="8972550" y="11622912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547</xdr:row>
      <xdr:rowOff>119381</xdr:rowOff>
    </xdr:from>
    <xdr:to>
      <xdr:col>10</xdr:col>
      <xdr:colOff>63500</xdr:colOff>
      <xdr:row>548</xdr:row>
      <xdr:rowOff>1</xdr:rowOff>
    </xdr:to>
    <xdr:sp macro="" textlink="">
      <xdr:nvSpPr>
        <xdr:cNvPr id="1242" name="nuNumber: 1271" hidden="1">
          <a:extLst>
            <a:ext uri="{FF2B5EF4-FFF2-40B4-BE49-F238E27FC236}">
              <a16:creationId xmlns:a16="http://schemas.microsoft.com/office/drawing/2014/main" id="{4739A17C-C68B-4031-B793-54F4A97F1FCA}"/>
            </a:ext>
          </a:extLst>
        </xdr:cNvPr>
        <xdr:cNvSpPr/>
      </xdr:nvSpPr>
      <xdr:spPr bwMode="auto">
        <a:xfrm>
          <a:off x="7315200" y="1168577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547</xdr:row>
      <xdr:rowOff>119381</xdr:rowOff>
    </xdr:from>
    <xdr:to>
      <xdr:col>12</xdr:col>
      <xdr:colOff>63500</xdr:colOff>
      <xdr:row>548</xdr:row>
      <xdr:rowOff>1</xdr:rowOff>
    </xdr:to>
    <xdr:sp macro="" textlink="">
      <xdr:nvSpPr>
        <xdr:cNvPr id="1243" name="nuNumber: 1272" hidden="1">
          <a:extLst>
            <a:ext uri="{FF2B5EF4-FFF2-40B4-BE49-F238E27FC236}">
              <a16:creationId xmlns:a16="http://schemas.microsoft.com/office/drawing/2014/main" id="{6A9C1863-749B-4BA3-970C-20B882F81DE8}"/>
            </a:ext>
          </a:extLst>
        </xdr:cNvPr>
        <xdr:cNvSpPr/>
      </xdr:nvSpPr>
      <xdr:spPr bwMode="auto">
        <a:xfrm>
          <a:off x="8972550" y="1168577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548</xdr:row>
      <xdr:rowOff>119380</xdr:rowOff>
    </xdr:from>
    <xdr:to>
      <xdr:col>10</xdr:col>
      <xdr:colOff>63500</xdr:colOff>
      <xdr:row>549</xdr:row>
      <xdr:rowOff>0</xdr:rowOff>
    </xdr:to>
    <xdr:sp macro="" textlink="">
      <xdr:nvSpPr>
        <xdr:cNvPr id="1244" name="nuNumber: 1273" hidden="1">
          <a:extLst>
            <a:ext uri="{FF2B5EF4-FFF2-40B4-BE49-F238E27FC236}">
              <a16:creationId xmlns:a16="http://schemas.microsoft.com/office/drawing/2014/main" id="{B20DA60E-D99F-4096-9E91-F5CBD0F8A569}"/>
            </a:ext>
          </a:extLst>
        </xdr:cNvPr>
        <xdr:cNvSpPr/>
      </xdr:nvSpPr>
      <xdr:spPr bwMode="auto">
        <a:xfrm>
          <a:off x="7315200" y="117067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548</xdr:row>
      <xdr:rowOff>119380</xdr:rowOff>
    </xdr:from>
    <xdr:to>
      <xdr:col>12</xdr:col>
      <xdr:colOff>63500</xdr:colOff>
      <xdr:row>549</xdr:row>
      <xdr:rowOff>0</xdr:rowOff>
    </xdr:to>
    <xdr:sp macro="" textlink="">
      <xdr:nvSpPr>
        <xdr:cNvPr id="1245" name="nuNumber: 1274" hidden="1">
          <a:extLst>
            <a:ext uri="{FF2B5EF4-FFF2-40B4-BE49-F238E27FC236}">
              <a16:creationId xmlns:a16="http://schemas.microsoft.com/office/drawing/2014/main" id="{100951C0-7012-4214-8530-A914194A0B1A}"/>
            </a:ext>
          </a:extLst>
        </xdr:cNvPr>
        <xdr:cNvSpPr/>
      </xdr:nvSpPr>
      <xdr:spPr bwMode="auto">
        <a:xfrm>
          <a:off x="8972550" y="117067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549</xdr:row>
      <xdr:rowOff>119379</xdr:rowOff>
    </xdr:from>
    <xdr:to>
      <xdr:col>12</xdr:col>
      <xdr:colOff>63500</xdr:colOff>
      <xdr:row>549</xdr:row>
      <xdr:rowOff>182879</xdr:rowOff>
    </xdr:to>
    <xdr:sp macro="" textlink="">
      <xdr:nvSpPr>
        <xdr:cNvPr id="1246" name="nuNumber: 1275" hidden="1">
          <a:extLst>
            <a:ext uri="{FF2B5EF4-FFF2-40B4-BE49-F238E27FC236}">
              <a16:creationId xmlns:a16="http://schemas.microsoft.com/office/drawing/2014/main" id="{E3E1404F-0C64-4556-A27C-25AA51A366D2}"/>
            </a:ext>
          </a:extLst>
        </xdr:cNvPr>
        <xdr:cNvSpPr/>
      </xdr:nvSpPr>
      <xdr:spPr bwMode="auto">
        <a:xfrm>
          <a:off x="8972550" y="1172768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550</xdr:row>
      <xdr:rowOff>119378</xdr:rowOff>
    </xdr:from>
    <xdr:to>
      <xdr:col>12</xdr:col>
      <xdr:colOff>63500</xdr:colOff>
      <xdr:row>550</xdr:row>
      <xdr:rowOff>182878</xdr:rowOff>
    </xdr:to>
    <xdr:sp macro="" textlink="">
      <xdr:nvSpPr>
        <xdr:cNvPr id="1247" name="nuNumber: 1276" hidden="1">
          <a:extLst>
            <a:ext uri="{FF2B5EF4-FFF2-40B4-BE49-F238E27FC236}">
              <a16:creationId xmlns:a16="http://schemas.microsoft.com/office/drawing/2014/main" id="{13A9284F-D938-4D7A-BA74-D36A7B014E69}"/>
            </a:ext>
          </a:extLst>
        </xdr:cNvPr>
        <xdr:cNvSpPr/>
      </xdr:nvSpPr>
      <xdr:spPr bwMode="auto">
        <a:xfrm>
          <a:off x="8972550" y="1174864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78</xdr:row>
      <xdr:rowOff>119380</xdr:rowOff>
    </xdr:from>
    <xdr:to>
      <xdr:col>8</xdr:col>
      <xdr:colOff>63500</xdr:colOff>
      <xdr:row>79</xdr:row>
      <xdr:rowOff>0</xdr:rowOff>
    </xdr:to>
    <xdr:sp macro="" textlink="">
      <xdr:nvSpPr>
        <xdr:cNvPr id="1248" name="nuNumber: 384" hidden="1">
          <a:extLst>
            <a:ext uri="{FF2B5EF4-FFF2-40B4-BE49-F238E27FC236}">
              <a16:creationId xmlns:a16="http://schemas.microsoft.com/office/drawing/2014/main" id="{FE187565-37F5-4A46-886C-2F1D9749949C}"/>
            </a:ext>
          </a:extLst>
        </xdr:cNvPr>
        <xdr:cNvSpPr/>
      </xdr:nvSpPr>
      <xdr:spPr bwMode="auto">
        <a:xfrm>
          <a:off x="5562600" y="166166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78</xdr:row>
      <xdr:rowOff>119380</xdr:rowOff>
    </xdr:from>
    <xdr:to>
      <xdr:col>9</xdr:col>
      <xdr:colOff>63500</xdr:colOff>
      <xdr:row>79</xdr:row>
      <xdr:rowOff>0</xdr:rowOff>
    </xdr:to>
    <xdr:sp macro="" textlink="">
      <xdr:nvSpPr>
        <xdr:cNvPr id="1249" name="nuNumber: 385" hidden="1">
          <a:extLst>
            <a:ext uri="{FF2B5EF4-FFF2-40B4-BE49-F238E27FC236}">
              <a16:creationId xmlns:a16="http://schemas.microsoft.com/office/drawing/2014/main" id="{20920B57-E227-4612-B721-C0F45E3CEADE}"/>
            </a:ext>
          </a:extLst>
        </xdr:cNvPr>
        <xdr:cNvSpPr/>
      </xdr:nvSpPr>
      <xdr:spPr bwMode="auto">
        <a:xfrm>
          <a:off x="6467475" y="166166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78</xdr:row>
      <xdr:rowOff>119380</xdr:rowOff>
    </xdr:from>
    <xdr:to>
      <xdr:col>9</xdr:col>
      <xdr:colOff>63500</xdr:colOff>
      <xdr:row>79</xdr:row>
      <xdr:rowOff>0</xdr:rowOff>
    </xdr:to>
    <xdr:sp macro="" textlink="">
      <xdr:nvSpPr>
        <xdr:cNvPr id="1250" name="nuNumber: 386" hidden="1">
          <a:extLst>
            <a:ext uri="{FF2B5EF4-FFF2-40B4-BE49-F238E27FC236}">
              <a16:creationId xmlns:a16="http://schemas.microsoft.com/office/drawing/2014/main" id="{A39BC13F-1331-4F62-BDC6-207283618EC1}"/>
            </a:ext>
          </a:extLst>
        </xdr:cNvPr>
        <xdr:cNvSpPr/>
      </xdr:nvSpPr>
      <xdr:spPr bwMode="auto">
        <a:xfrm>
          <a:off x="6467475" y="166166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78</xdr:row>
      <xdr:rowOff>119380</xdr:rowOff>
    </xdr:from>
    <xdr:to>
      <xdr:col>10</xdr:col>
      <xdr:colOff>63500</xdr:colOff>
      <xdr:row>79</xdr:row>
      <xdr:rowOff>0</xdr:rowOff>
    </xdr:to>
    <xdr:sp macro="" textlink="">
      <xdr:nvSpPr>
        <xdr:cNvPr id="1251" name="nuNumber: 387" hidden="1">
          <a:extLst>
            <a:ext uri="{FF2B5EF4-FFF2-40B4-BE49-F238E27FC236}">
              <a16:creationId xmlns:a16="http://schemas.microsoft.com/office/drawing/2014/main" id="{BF9009A3-482A-4DE6-A97A-D235EA87B57B}"/>
            </a:ext>
          </a:extLst>
        </xdr:cNvPr>
        <xdr:cNvSpPr/>
      </xdr:nvSpPr>
      <xdr:spPr bwMode="auto">
        <a:xfrm>
          <a:off x="7315200" y="166166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78</xdr:row>
      <xdr:rowOff>119380</xdr:rowOff>
    </xdr:from>
    <xdr:to>
      <xdr:col>11</xdr:col>
      <xdr:colOff>63500</xdr:colOff>
      <xdr:row>79</xdr:row>
      <xdr:rowOff>0</xdr:rowOff>
    </xdr:to>
    <xdr:sp macro="" textlink="">
      <xdr:nvSpPr>
        <xdr:cNvPr id="1252" name="nuNumber: 388" hidden="1">
          <a:extLst>
            <a:ext uri="{FF2B5EF4-FFF2-40B4-BE49-F238E27FC236}">
              <a16:creationId xmlns:a16="http://schemas.microsoft.com/office/drawing/2014/main" id="{2B0996DD-8F6D-47BD-BDAE-38E1596F64E9}"/>
            </a:ext>
          </a:extLst>
        </xdr:cNvPr>
        <xdr:cNvSpPr/>
      </xdr:nvSpPr>
      <xdr:spPr bwMode="auto">
        <a:xfrm>
          <a:off x="8105775" y="166166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78</xdr:row>
      <xdr:rowOff>119380</xdr:rowOff>
    </xdr:from>
    <xdr:to>
      <xdr:col>12</xdr:col>
      <xdr:colOff>63500</xdr:colOff>
      <xdr:row>79</xdr:row>
      <xdr:rowOff>0</xdr:rowOff>
    </xdr:to>
    <xdr:sp macro="" textlink="">
      <xdr:nvSpPr>
        <xdr:cNvPr id="1253" name="nuNumber: 389" hidden="1">
          <a:extLst>
            <a:ext uri="{FF2B5EF4-FFF2-40B4-BE49-F238E27FC236}">
              <a16:creationId xmlns:a16="http://schemas.microsoft.com/office/drawing/2014/main" id="{E9176010-FAC3-4185-9435-4611815B558C}"/>
            </a:ext>
          </a:extLst>
        </xdr:cNvPr>
        <xdr:cNvSpPr/>
      </xdr:nvSpPr>
      <xdr:spPr bwMode="auto">
        <a:xfrm>
          <a:off x="8972550" y="166166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78</xdr:row>
      <xdr:rowOff>119380</xdr:rowOff>
    </xdr:from>
    <xdr:to>
      <xdr:col>13</xdr:col>
      <xdr:colOff>63500</xdr:colOff>
      <xdr:row>79</xdr:row>
      <xdr:rowOff>0</xdr:rowOff>
    </xdr:to>
    <xdr:sp macro="" textlink="">
      <xdr:nvSpPr>
        <xdr:cNvPr id="1254" name="nuNumber: 390" hidden="1">
          <a:extLst>
            <a:ext uri="{FF2B5EF4-FFF2-40B4-BE49-F238E27FC236}">
              <a16:creationId xmlns:a16="http://schemas.microsoft.com/office/drawing/2014/main" id="{8F60699A-334B-4A2F-933F-2F0C5D0C9CA8}"/>
            </a:ext>
          </a:extLst>
        </xdr:cNvPr>
        <xdr:cNvSpPr/>
      </xdr:nvSpPr>
      <xdr:spPr bwMode="auto">
        <a:xfrm>
          <a:off x="9753600" y="166166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78</xdr:row>
      <xdr:rowOff>119380</xdr:rowOff>
    </xdr:from>
    <xdr:to>
      <xdr:col>14</xdr:col>
      <xdr:colOff>63500</xdr:colOff>
      <xdr:row>79</xdr:row>
      <xdr:rowOff>0</xdr:rowOff>
    </xdr:to>
    <xdr:sp macro="" textlink="">
      <xdr:nvSpPr>
        <xdr:cNvPr id="1255" name="nuNumber: 391" hidden="1">
          <a:extLst>
            <a:ext uri="{FF2B5EF4-FFF2-40B4-BE49-F238E27FC236}">
              <a16:creationId xmlns:a16="http://schemas.microsoft.com/office/drawing/2014/main" id="{72108421-C793-4F64-848B-469D3B714FA7}"/>
            </a:ext>
          </a:extLst>
        </xdr:cNvPr>
        <xdr:cNvSpPr/>
      </xdr:nvSpPr>
      <xdr:spPr bwMode="auto">
        <a:xfrm>
          <a:off x="10515600" y="166166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78</xdr:row>
      <xdr:rowOff>119380</xdr:rowOff>
    </xdr:from>
    <xdr:to>
      <xdr:col>15</xdr:col>
      <xdr:colOff>63500</xdr:colOff>
      <xdr:row>79</xdr:row>
      <xdr:rowOff>0</xdr:rowOff>
    </xdr:to>
    <xdr:sp macro="" textlink="">
      <xdr:nvSpPr>
        <xdr:cNvPr id="1256" name="nuNumber: 392" hidden="1">
          <a:extLst>
            <a:ext uri="{FF2B5EF4-FFF2-40B4-BE49-F238E27FC236}">
              <a16:creationId xmlns:a16="http://schemas.microsoft.com/office/drawing/2014/main" id="{8D36CF87-37A3-4200-B1DE-7FD8B52B969B}"/>
            </a:ext>
          </a:extLst>
        </xdr:cNvPr>
        <xdr:cNvSpPr/>
      </xdr:nvSpPr>
      <xdr:spPr bwMode="auto">
        <a:xfrm>
          <a:off x="11325225" y="166166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78</xdr:row>
      <xdr:rowOff>119380</xdr:rowOff>
    </xdr:from>
    <xdr:to>
      <xdr:col>16</xdr:col>
      <xdr:colOff>63500</xdr:colOff>
      <xdr:row>79</xdr:row>
      <xdr:rowOff>0</xdr:rowOff>
    </xdr:to>
    <xdr:sp macro="" textlink="">
      <xdr:nvSpPr>
        <xdr:cNvPr id="1257" name="nuNumber: 393" hidden="1">
          <a:extLst>
            <a:ext uri="{FF2B5EF4-FFF2-40B4-BE49-F238E27FC236}">
              <a16:creationId xmlns:a16="http://schemas.microsoft.com/office/drawing/2014/main" id="{915F00FA-B610-4B34-B860-55646D212ECB}"/>
            </a:ext>
          </a:extLst>
        </xdr:cNvPr>
        <xdr:cNvSpPr/>
      </xdr:nvSpPr>
      <xdr:spPr bwMode="auto">
        <a:xfrm>
          <a:off x="12106275" y="166166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78</xdr:row>
      <xdr:rowOff>119380</xdr:rowOff>
    </xdr:from>
    <xdr:to>
      <xdr:col>17</xdr:col>
      <xdr:colOff>63500</xdr:colOff>
      <xdr:row>79</xdr:row>
      <xdr:rowOff>0</xdr:rowOff>
    </xdr:to>
    <xdr:sp macro="" textlink="">
      <xdr:nvSpPr>
        <xdr:cNvPr id="1258" name="nuNumber: 394" hidden="1">
          <a:extLst>
            <a:ext uri="{FF2B5EF4-FFF2-40B4-BE49-F238E27FC236}">
              <a16:creationId xmlns:a16="http://schemas.microsoft.com/office/drawing/2014/main" id="{6F7FC62F-B2E1-46D1-AFE5-CA170C96CA3A}"/>
            </a:ext>
          </a:extLst>
        </xdr:cNvPr>
        <xdr:cNvSpPr/>
      </xdr:nvSpPr>
      <xdr:spPr bwMode="auto">
        <a:xfrm>
          <a:off x="12887325" y="166166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78</xdr:row>
      <xdr:rowOff>119380</xdr:rowOff>
    </xdr:from>
    <xdr:to>
      <xdr:col>18</xdr:col>
      <xdr:colOff>63499</xdr:colOff>
      <xdr:row>79</xdr:row>
      <xdr:rowOff>0</xdr:rowOff>
    </xdr:to>
    <xdr:sp macro="" textlink="">
      <xdr:nvSpPr>
        <xdr:cNvPr id="1259" name="nuNumber: 395" hidden="1">
          <a:extLst>
            <a:ext uri="{FF2B5EF4-FFF2-40B4-BE49-F238E27FC236}">
              <a16:creationId xmlns:a16="http://schemas.microsoft.com/office/drawing/2014/main" id="{CB599184-E7FA-4C15-841B-E68077639777}"/>
            </a:ext>
          </a:extLst>
        </xdr:cNvPr>
        <xdr:cNvSpPr/>
      </xdr:nvSpPr>
      <xdr:spPr bwMode="auto">
        <a:xfrm>
          <a:off x="13624559" y="1661668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78</xdr:row>
      <xdr:rowOff>119380</xdr:rowOff>
    </xdr:from>
    <xdr:to>
      <xdr:col>19</xdr:col>
      <xdr:colOff>63500</xdr:colOff>
      <xdr:row>79</xdr:row>
      <xdr:rowOff>0</xdr:rowOff>
    </xdr:to>
    <xdr:sp macro="" textlink="">
      <xdr:nvSpPr>
        <xdr:cNvPr id="1260" name="nuNumber: 396" hidden="1">
          <a:extLst>
            <a:ext uri="{FF2B5EF4-FFF2-40B4-BE49-F238E27FC236}">
              <a16:creationId xmlns:a16="http://schemas.microsoft.com/office/drawing/2014/main" id="{ECBE984A-CD1C-4406-B9DB-282E2000F6AE}"/>
            </a:ext>
          </a:extLst>
        </xdr:cNvPr>
        <xdr:cNvSpPr/>
      </xdr:nvSpPr>
      <xdr:spPr bwMode="auto">
        <a:xfrm>
          <a:off x="14382750" y="166166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78</xdr:row>
      <xdr:rowOff>119380</xdr:rowOff>
    </xdr:from>
    <xdr:to>
      <xdr:col>20</xdr:col>
      <xdr:colOff>63500</xdr:colOff>
      <xdr:row>79</xdr:row>
      <xdr:rowOff>0</xdr:rowOff>
    </xdr:to>
    <xdr:sp macro="" textlink="">
      <xdr:nvSpPr>
        <xdr:cNvPr id="1261" name="nuNumber: 397" hidden="1">
          <a:extLst>
            <a:ext uri="{FF2B5EF4-FFF2-40B4-BE49-F238E27FC236}">
              <a16:creationId xmlns:a16="http://schemas.microsoft.com/office/drawing/2014/main" id="{F0919061-A932-4753-AF82-67647EEAEA54}"/>
            </a:ext>
          </a:extLst>
        </xdr:cNvPr>
        <xdr:cNvSpPr/>
      </xdr:nvSpPr>
      <xdr:spPr bwMode="auto">
        <a:xfrm>
          <a:off x="15135225" y="166166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78</xdr:row>
      <xdr:rowOff>119380</xdr:rowOff>
    </xdr:from>
    <xdr:to>
      <xdr:col>21</xdr:col>
      <xdr:colOff>63500</xdr:colOff>
      <xdr:row>79</xdr:row>
      <xdr:rowOff>0</xdr:rowOff>
    </xdr:to>
    <xdr:sp macro="" textlink="">
      <xdr:nvSpPr>
        <xdr:cNvPr id="1262" name="nuNumber: 398" hidden="1">
          <a:extLst>
            <a:ext uri="{FF2B5EF4-FFF2-40B4-BE49-F238E27FC236}">
              <a16:creationId xmlns:a16="http://schemas.microsoft.com/office/drawing/2014/main" id="{28F6EF91-985C-4AF3-A81D-B985DBC3F005}"/>
            </a:ext>
          </a:extLst>
        </xdr:cNvPr>
        <xdr:cNvSpPr/>
      </xdr:nvSpPr>
      <xdr:spPr bwMode="auto">
        <a:xfrm>
          <a:off x="15849600" y="166166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20</xdr:row>
      <xdr:rowOff>119380</xdr:rowOff>
    </xdr:from>
    <xdr:to>
      <xdr:col>8</xdr:col>
      <xdr:colOff>63500</xdr:colOff>
      <xdr:row>21</xdr:row>
      <xdr:rowOff>0</xdr:rowOff>
    </xdr:to>
    <xdr:sp macro="" textlink="">
      <xdr:nvSpPr>
        <xdr:cNvPr id="1263" name="nuNumber: 79" hidden="1">
          <a:extLst>
            <a:ext uri="{FF2B5EF4-FFF2-40B4-BE49-F238E27FC236}">
              <a16:creationId xmlns:a16="http://schemas.microsoft.com/office/drawing/2014/main" id="{844541F2-C9B2-469C-A04D-AC0BCD143979}"/>
            </a:ext>
          </a:extLst>
        </xdr:cNvPr>
        <xdr:cNvSpPr/>
      </xdr:nvSpPr>
      <xdr:spPr bwMode="auto">
        <a:xfrm>
          <a:off x="5562600" y="44056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20</xdr:row>
      <xdr:rowOff>119380</xdr:rowOff>
    </xdr:from>
    <xdr:to>
      <xdr:col>9</xdr:col>
      <xdr:colOff>63500</xdr:colOff>
      <xdr:row>21</xdr:row>
      <xdr:rowOff>0</xdr:rowOff>
    </xdr:to>
    <xdr:sp macro="" textlink="">
      <xdr:nvSpPr>
        <xdr:cNvPr id="1264" name="nuNumber: 80" hidden="1">
          <a:extLst>
            <a:ext uri="{FF2B5EF4-FFF2-40B4-BE49-F238E27FC236}">
              <a16:creationId xmlns:a16="http://schemas.microsoft.com/office/drawing/2014/main" id="{668E8C95-0023-4D70-B7BE-2D531F3971BB}"/>
            </a:ext>
          </a:extLst>
        </xdr:cNvPr>
        <xdr:cNvSpPr/>
      </xdr:nvSpPr>
      <xdr:spPr bwMode="auto">
        <a:xfrm>
          <a:off x="6467475" y="44056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20</xdr:row>
      <xdr:rowOff>119380</xdr:rowOff>
    </xdr:from>
    <xdr:to>
      <xdr:col>9</xdr:col>
      <xdr:colOff>63500</xdr:colOff>
      <xdr:row>21</xdr:row>
      <xdr:rowOff>0</xdr:rowOff>
    </xdr:to>
    <xdr:sp macro="" textlink="">
      <xdr:nvSpPr>
        <xdr:cNvPr id="1265" name="nuNumber: 81" hidden="1">
          <a:extLst>
            <a:ext uri="{FF2B5EF4-FFF2-40B4-BE49-F238E27FC236}">
              <a16:creationId xmlns:a16="http://schemas.microsoft.com/office/drawing/2014/main" id="{E41A29AB-898D-4524-999C-99401B1631D9}"/>
            </a:ext>
          </a:extLst>
        </xdr:cNvPr>
        <xdr:cNvSpPr/>
      </xdr:nvSpPr>
      <xdr:spPr bwMode="auto">
        <a:xfrm>
          <a:off x="6467475" y="44056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20</xdr:row>
      <xdr:rowOff>119380</xdr:rowOff>
    </xdr:from>
    <xdr:to>
      <xdr:col>10</xdr:col>
      <xdr:colOff>63500</xdr:colOff>
      <xdr:row>21</xdr:row>
      <xdr:rowOff>0</xdr:rowOff>
    </xdr:to>
    <xdr:sp macro="" textlink="">
      <xdr:nvSpPr>
        <xdr:cNvPr id="1266" name="nuNumber: 82" hidden="1">
          <a:extLst>
            <a:ext uri="{FF2B5EF4-FFF2-40B4-BE49-F238E27FC236}">
              <a16:creationId xmlns:a16="http://schemas.microsoft.com/office/drawing/2014/main" id="{2C77DFE7-131A-4084-BFC5-619AEFAE7980}"/>
            </a:ext>
          </a:extLst>
        </xdr:cNvPr>
        <xdr:cNvSpPr/>
      </xdr:nvSpPr>
      <xdr:spPr bwMode="auto">
        <a:xfrm>
          <a:off x="7315200" y="44056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20</xdr:row>
      <xdr:rowOff>119380</xdr:rowOff>
    </xdr:from>
    <xdr:to>
      <xdr:col>11</xdr:col>
      <xdr:colOff>63500</xdr:colOff>
      <xdr:row>21</xdr:row>
      <xdr:rowOff>0</xdr:rowOff>
    </xdr:to>
    <xdr:sp macro="" textlink="">
      <xdr:nvSpPr>
        <xdr:cNvPr id="1267" name="nuNumber: 83" hidden="1">
          <a:extLst>
            <a:ext uri="{FF2B5EF4-FFF2-40B4-BE49-F238E27FC236}">
              <a16:creationId xmlns:a16="http://schemas.microsoft.com/office/drawing/2014/main" id="{AE4FD7A8-CB0F-49F3-B3C0-DE1BCDE0FB6C}"/>
            </a:ext>
          </a:extLst>
        </xdr:cNvPr>
        <xdr:cNvSpPr/>
      </xdr:nvSpPr>
      <xdr:spPr bwMode="auto">
        <a:xfrm>
          <a:off x="8105775" y="44056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20</xdr:row>
      <xdr:rowOff>119380</xdr:rowOff>
    </xdr:from>
    <xdr:to>
      <xdr:col>12</xdr:col>
      <xdr:colOff>63500</xdr:colOff>
      <xdr:row>21</xdr:row>
      <xdr:rowOff>0</xdr:rowOff>
    </xdr:to>
    <xdr:sp macro="" textlink="">
      <xdr:nvSpPr>
        <xdr:cNvPr id="1268" name="nuNumber: 84" hidden="1">
          <a:extLst>
            <a:ext uri="{FF2B5EF4-FFF2-40B4-BE49-F238E27FC236}">
              <a16:creationId xmlns:a16="http://schemas.microsoft.com/office/drawing/2014/main" id="{E396200B-B789-4DE2-AFC2-6C445735669B}"/>
            </a:ext>
          </a:extLst>
        </xdr:cNvPr>
        <xdr:cNvSpPr/>
      </xdr:nvSpPr>
      <xdr:spPr bwMode="auto">
        <a:xfrm>
          <a:off x="8972550" y="44056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20</xdr:row>
      <xdr:rowOff>119380</xdr:rowOff>
    </xdr:from>
    <xdr:to>
      <xdr:col>13</xdr:col>
      <xdr:colOff>63500</xdr:colOff>
      <xdr:row>21</xdr:row>
      <xdr:rowOff>0</xdr:rowOff>
    </xdr:to>
    <xdr:sp macro="" textlink="">
      <xdr:nvSpPr>
        <xdr:cNvPr id="1269" name="nuNumber: 85" hidden="1">
          <a:extLst>
            <a:ext uri="{FF2B5EF4-FFF2-40B4-BE49-F238E27FC236}">
              <a16:creationId xmlns:a16="http://schemas.microsoft.com/office/drawing/2014/main" id="{33C7E303-E03E-456B-BA29-24432E3DC937}"/>
            </a:ext>
          </a:extLst>
        </xdr:cNvPr>
        <xdr:cNvSpPr/>
      </xdr:nvSpPr>
      <xdr:spPr bwMode="auto">
        <a:xfrm>
          <a:off x="9753600" y="44056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20</xdr:row>
      <xdr:rowOff>119380</xdr:rowOff>
    </xdr:from>
    <xdr:to>
      <xdr:col>14</xdr:col>
      <xdr:colOff>63500</xdr:colOff>
      <xdr:row>21</xdr:row>
      <xdr:rowOff>0</xdr:rowOff>
    </xdr:to>
    <xdr:sp macro="" textlink="">
      <xdr:nvSpPr>
        <xdr:cNvPr id="1270" name="nuNumber: 86" hidden="1">
          <a:extLst>
            <a:ext uri="{FF2B5EF4-FFF2-40B4-BE49-F238E27FC236}">
              <a16:creationId xmlns:a16="http://schemas.microsoft.com/office/drawing/2014/main" id="{87EF5E6F-52CE-4AD3-B695-BC373C097F99}"/>
            </a:ext>
          </a:extLst>
        </xdr:cNvPr>
        <xdr:cNvSpPr/>
      </xdr:nvSpPr>
      <xdr:spPr bwMode="auto">
        <a:xfrm>
          <a:off x="10515600" y="44056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20</xdr:row>
      <xdr:rowOff>119380</xdr:rowOff>
    </xdr:from>
    <xdr:to>
      <xdr:col>15</xdr:col>
      <xdr:colOff>63500</xdr:colOff>
      <xdr:row>21</xdr:row>
      <xdr:rowOff>0</xdr:rowOff>
    </xdr:to>
    <xdr:sp macro="" textlink="">
      <xdr:nvSpPr>
        <xdr:cNvPr id="1271" name="nuNumber: 87" hidden="1">
          <a:extLst>
            <a:ext uri="{FF2B5EF4-FFF2-40B4-BE49-F238E27FC236}">
              <a16:creationId xmlns:a16="http://schemas.microsoft.com/office/drawing/2014/main" id="{40B04102-54E8-446D-8E2D-E0FF75F2A5EB}"/>
            </a:ext>
          </a:extLst>
        </xdr:cNvPr>
        <xdr:cNvSpPr/>
      </xdr:nvSpPr>
      <xdr:spPr bwMode="auto">
        <a:xfrm>
          <a:off x="11325225" y="44056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20</xdr:row>
      <xdr:rowOff>119380</xdr:rowOff>
    </xdr:from>
    <xdr:to>
      <xdr:col>16</xdr:col>
      <xdr:colOff>63500</xdr:colOff>
      <xdr:row>21</xdr:row>
      <xdr:rowOff>0</xdr:rowOff>
    </xdr:to>
    <xdr:sp macro="" textlink="">
      <xdr:nvSpPr>
        <xdr:cNvPr id="1272" name="nuNumber: 88" hidden="1">
          <a:extLst>
            <a:ext uri="{FF2B5EF4-FFF2-40B4-BE49-F238E27FC236}">
              <a16:creationId xmlns:a16="http://schemas.microsoft.com/office/drawing/2014/main" id="{6F62419F-0CCF-4971-BFFB-E8DD72FE77E0}"/>
            </a:ext>
          </a:extLst>
        </xdr:cNvPr>
        <xdr:cNvSpPr/>
      </xdr:nvSpPr>
      <xdr:spPr bwMode="auto">
        <a:xfrm>
          <a:off x="12106275" y="44056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20</xdr:row>
      <xdr:rowOff>119380</xdr:rowOff>
    </xdr:from>
    <xdr:to>
      <xdr:col>17</xdr:col>
      <xdr:colOff>63500</xdr:colOff>
      <xdr:row>21</xdr:row>
      <xdr:rowOff>0</xdr:rowOff>
    </xdr:to>
    <xdr:sp macro="" textlink="">
      <xdr:nvSpPr>
        <xdr:cNvPr id="1273" name="nuNumber: 89" hidden="1">
          <a:extLst>
            <a:ext uri="{FF2B5EF4-FFF2-40B4-BE49-F238E27FC236}">
              <a16:creationId xmlns:a16="http://schemas.microsoft.com/office/drawing/2014/main" id="{A0708FF3-B952-4C17-9C1E-D27A1B3C2F42}"/>
            </a:ext>
          </a:extLst>
        </xdr:cNvPr>
        <xdr:cNvSpPr/>
      </xdr:nvSpPr>
      <xdr:spPr bwMode="auto">
        <a:xfrm>
          <a:off x="12887325" y="44056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20</xdr:row>
      <xdr:rowOff>119380</xdr:rowOff>
    </xdr:from>
    <xdr:to>
      <xdr:col>18</xdr:col>
      <xdr:colOff>63499</xdr:colOff>
      <xdr:row>21</xdr:row>
      <xdr:rowOff>0</xdr:rowOff>
    </xdr:to>
    <xdr:sp macro="" textlink="">
      <xdr:nvSpPr>
        <xdr:cNvPr id="1274" name="nuNumber: 90" hidden="1">
          <a:extLst>
            <a:ext uri="{FF2B5EF4-FFF2-40B4-BE49-F238E27FC236}">
              <a16:creationId xmlns:a16="http://schemas.microsoft.com/office/drawing/2014/main" id="{948AD619-C3F5-44EE-B0A5-B4E9C0933EAB}"/>
            </a:ext>
          </a:extLst>
        </xdr:cNvPr>
        <xdr:cNvSpPr/>
      </xdr:nvSpPr>
      <xdr:spPr bwMode="auto">
        <a:xfrm>
          <a:off x="13624559" y="440563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20</xdr:row>
      <xdr:rowOff>119380</xdr:rowOff>
    </xdr:from>
    <xdr:to>
      <xdr:col>19</xdr:col>
      <xdr:colOff>63500</xdr:colOff>
      <xdr:row>21</xdr:row>
      <xdr:rowOff>0</xdr:rowOff>
    </xdr:to>
    <xdr:sp macro="" textlink="">
      <xdr:nvSpPr>
        <xdr:cNvPr id="1275" name="nuNumber: 91" hidden="1">
          <a:extLst>
            <a:ext uri="{FF2B5EF4-FFF2-40B4-BE49-F238E27FC236}">
              <a16:creationId xmlns:a16="http://schemas.microsoft.com/office/drawing/2014/main" id="{B1533BC2-9641-489E-B4AE-3E89BBF39A10}"/>
            </a:ext>
          </a:extLst>
        </xdr:cNvPr>
        <xdr:cNvSpPr/>
      </xdr:nvSpPr>
      <xdr:spPr bwMode="auto">
        <a:xfrm>
          <a:off x="14382750" y="44056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20</xdr:row>
      <xdr:rowOff>119380</xdr:rowOff>
    </xdr:from>
    <xdr:to>
      <xdr:col>20</xdr:col>
      <xdr:colOff>63500</xdr:colOff>
      <xdr:row>21</xdr:row>
      <xdr:rowOff>0</xdr:rowOff>
    </xdr:to>
    <xdr:sp macro="" textlink="">
      <xdr:nvSpPr>
        <xdr:cNvPr id="1276" name="nuNumber: 92" hidden="1">
          <a:extLst>
            <a:ext uri="{FF2B5EF4-FFF2-40B4-BE49-F238E27FC236}">
              <a16:creationId xmlns:a16="http://schemas.microsoft.com/office/drawing/2014/main" id="{070242DF-2F77-4C38-94F2-96C36988A1FE}"/>
            </a:ext>
          </a:extLst>
        </xdr:cNvPr>
        <xdr:cNvSpPr/>
      </xdr:nvSpPr>
      <xdr:spPr bwMode="auto">
        <a:xfrm>
          <a:off x="15135225" y="44056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20</xdr:row>
      <xdr:rowOff>119380</xdr:rowOff>
    </xdr:from>
    <xdr:to>
      <xdr:col>21</xdr:col>
      <xdr:colOff>63500</xdr:colOff>
      <xdr:row>21</xdr:row>
      <xdr:rowOff>0</xdr:rowOff>
    </xdr:to>
    <xdr:sp macro="" textlink="">
      <xdr:nvSpPr>
        <xdr:cNvPr id="1277" name="nuNumber: 93" hidden="1">
          <a:extLst>
            <a:ext uri="{FF2B5EF4-FFF2-40B4-BE49-F238E27FC236}">
              <a16:creationId xmlns:a16="http://schemas.microsoft.com/office/drawing/2014/main" id="{E0DB7992-807B-4193-93B5-174B6F4907B7}"/>
            </a:ext>
          </a:extLst>
        </xdr:cNvPr>
        <xdr:cNvSpPr/>
      </xdr:nvSpPr>
      <xdr:spPr bwMode="auto">
        <a:xfrm>
          <a:off x="15849600" y="44056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138</xdr:row>
      <xdr:rowOff>119380</xdr:rowOff>
    </xdr:from>
    <xdr:to>
      <xdr:col>8</xdr:col>
      <xdr:colOff>63500</xdr:colOff>
      <xdr:row>139</xdr:row>
      <xdr:rowOff>0</xdr:rowOff>
    </xdr:to>
    <xdr:sp macro="" textlink="">
      <xdr:nvSpPr>
        <xdr:cNvPr id="1278" name="nuNumber: 689" hidden="1">
          <a:extLst>
            <a:ext uri="{FF2B5EF4-FFF2-40B4-BE49-F238E27FC236}">
              <a16:creationId xmlns:a16="http://schemas.microsoft.com/office/drawing/2014/main" id="{E97D8B39-F85C-4FBA-8AC8-35F6592EF5E5}"/>
            </a:ext>
          </a:extLst>
        </xdr:cNvPr>
        <xdr:cNvSpPr/>
      </xdr:nvSpPr>
      <xdr:spPr bwMode="auto">
        <a:xfrm>
          <a:off x="5562600" y="292373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138</xdr:row>
      <xdr:rowOff>119380</xdr:rowOff>
    </xdr:from>
    <xdr:to>
      <xdr:col>9</xdr:col>
      <xdr:colOff>63500</xdr:colOff>
      <xdr:row>139</xdr:row>
      <xdr:rowOff>0</xdr:rowOff>
    </xdr:to>
    <xdr:sp macro="" textlink="">
      <xdr:nvSpPr>
        <xdr:cNvPr id="1279" name="nuNumber: 690" hidden="1">
          <a:extLst>
            <a:ext uri="{FF2B5EF4-FFF2-40B4-BE49-F238E27FC236}">
              <a16:creationId xmlns:a16="http://schemas.microsoft.com/office/drawing/2014/main" id="{724B9F02-5399-435F-AD58-568F46D8F5A2}"/>
            </a:ext>
          </a:extLst>
        </xdr:cNvPr>
        <xdr:cNvSpPr/>
      </xdr:nvSpPr>
      <xdr:spPr bwMode="auto">
        <a:xfrm>
          <a:off x="6467475" y="292373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138</xdr:row>
      <xdr:rowOff>119380</xdr:rowOff>
    </xdr:from>
    <xdr:to>
      <xdr:col>9</xdr:col>
      <xdr:colOff>63500</xdr:colOff>
      <xdr:row>139</xdr:row>
      <xdr:rowOff>0</xdr:rowOff>
    </xdr:to>
    <xdr:sp macro="" textlink="">
      <xdr:nvSpPr>
        <xdr:cNvPr id="1280" name="nuNumber: 691" hidden="1">
          <a:extLst>
            <a:ext uri="{FF2B5EF4-FFF2-40B4-BE49-F238E27FC236}">
              <a16:creationId xmlns:a16="http://schemas.microsoft.com/office/drawing/2014/main" id="{E628232F-99B5-4C69-AD95-5251E278F3AF}"/>
            </a:ext>
          </a:extLst>
        </xdr:cNvPr>
        <xdr:cNvSpPr/>
      </xdr:nvSpPr>
      <xdr:spPr bwMode="auto">
        <a:xfrm>
          <a:off x="6467475" y="292373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138</xdr:row>
      <xdr:rowOff>119380</xdr:rowOff>
    </xdr:from>
    <xdr:to>
      <xdr:col>10</xdr:col>
      <xdr:colOff>63500</xdr:colOff>
      <xdr:row>139</xdr:row>
      <xdr:rowOff>0</xdr:rowOff>
    </xdr:to>
    <xdr:sp macro="" textlink="">
      <xdr:nvSpPr>
        <xdr:cNvPr id="1281" name="nuNumber: 692" hidden="1">
          <a:extLst>
            <a:ext uri="{FF2B5EF4-FFF2-40B4-BE49-F238E27FC236}">
              <a16:creationId xmlns:a16="http://schemas.microsoft.com/office/drawing/2014/main" id="{20150DC5-7E88-4A38-9376-D4A2C0F7BA12}"/>
            </a:ext>
          </a:extLst>
        </xdr:cNvPr>
        <xdr:cNvSpPr/>
      </xdr:nvSpPr>
      <xdr:spPr bwMode="auto">
        <a:xfrm>
          <a:off x="7315200" y="292373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138</xdr:row>
      <xdr:rowOff>119380</xdr:rowOff>
    </xdr:from>
    <xdr:to>
      <xdr:col>11</xdr:col>
      <xdr:colOff>63500</xdr:colOff>
      <xdr:row>139</xdr:row>
      <xdr:rowOff>0</xdr:rowOff>
    </xdr:to>
    <xdr:sp macro="" textlink="">
      <xdr:nvSpPr>
        <xdr:cNvPr id="1282" name="nuNumber: 693" hidden="1">
          <a:extLst>
            <a:ext uri="{FF2B5EF4-FFF2-40B4-BE49-F238E27FC236}">
              <a16:creationId xmlns:a16="http://schemas.microsoft.com/office/drawing/2014/main" id="{0B4F0210-D6CD-49AC-8201-43CF4EA4331F}"/>
            </a:ext>
          </a:extLst>
        </xdr:cNvPr>
        <xdr:cNvSpPr/>
      </xdr:nvSpPr>
      <xdr:spPr bwMode="auto">
        <a:xfrm>
          <a:off x="8105775" y="292373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138</xdr:row>
      <xdr:rowOff>119380</xdr:rowOff>
    </xdr:from>
    <xdr:to>
      <xdr:col>12</xdr:col>
      <xdr:colOff>63500</xdr:colOff>
      <xdr:row>139</xdr:row>
      <xdr:rowOff>0</xdr:rowOff>
    </xdr:to>
    <xdr:sp macro="" textlink="">
      <xdr:nvSpPr>
        <xdr:cNvPr id="1283" name="nuNumber: 694" hidden="1">
          <a:extLst>
            <a:ext uri="{FF2B5EF4-FFF2-40B4-BE49-F238E27FC236}">
              <a16:creationId xmlns:a16="http://schemas.microsoft.com/office/drawing/2014/main" id="{A5F6761F-2F88-4C3E-93D8-89D222111280}"/>
            </a:ext>
          </a:extLst>
        </xdr:cNvPr>
        <xdr:cNvSpPr/>
      </xdr:nvSpPr>
      <xdr:spPr bwMode="auto">
        <a:xfrm>
          <a:off x="8972550" y="292373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138</xdr:row>
      <xdr:rowOff>119380</xdr:rowOff>
    </xdr:from>
    <xdr:to>
      <xdr:col>13</xdr:col>
      <xdr:colOff>63500</xdr:colOff>
      <xdr:row>139</xdr:row>
      <xdr:rowOff>0</xdr:rowOff>
    </xdr:to>
    <xdr:sp macro="" textlink="">
      <xdr:nvSpPr>
        <xdr:cNvPr id="1284" name="nuNumber: 695" hidden="1">
          <a:extLst>
            <a:ext uri="{FF2B5EF4-FFF2-40B4-BE49-F238E27FC236}">
              <a16:creationId xmlns:a16="http://schemas.microsoft.com/office/drawing/2014/main" id="{0373CDEB-D7BF-489C-BDA8-FB4583C17919}"/>
            </a:ext>
          </a:extLst>
        </xdr:cNvPr>
        <xdr:cNvSpPr/>
      </xdr:nvSpPr>
      <xdr:spPr bwMode="auto">
        <a:xfrm>
          <a:off x="9753600" y="292373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138</xdr:row>
      <xdr:rowOff>119380</xdr:rowOff>
    </xdr:from>
    <xdr:to>
      <xdr:col>14</xdr:col>
      <xdr:colOff>63500</xdr:colOff>
      <xdr:row>139</xdr:row>
      <xdr:rowOff>0</xdr:rowOff>
    </xdr:to>
    <xdr:sp macro="" textlink="">
      <xdr:nvSpPr>
        <xdr:cNvPr id="1285" name="nuNumber: 696" hidden="1">
          <a:extLst>
            <a:ext uri="{FF2B5EF4-FFF2-40B4-BE49-F238E27FC236}">
              <a16:creationId xmlns:a16="http://schemas.microsoft.com/office/drawing/2014/main" id="{9BBED985-54FB-470E-9EC6-AE9CD0F5CE71}"/>
            </a:ext>
          </a:extLst>
        </xdr:cNvPr>
        <xdr:cNvSpPr/>
      </xdr:nvSpPr>
      <xdr:spPr bwMode="auto">
        <a:xfrm>
          <a:off x="10515600" y="292373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138</xdr:row>
      <xdr:rowOff>119380</xdr:rowOff>
    </xdr:from>
    <xdr:to>
      <xdr:col>15</xdr:col>
      <xdr:colOff>63500</xdr:colOff>
      <xdr:row>139</xdr:row>
      <xdr:rowOff>0</xdr:rowOff>
    </xdr:to>
    <xdr:sp macro="" textlink="">
      <xdr:nvSpPr>
        <xdr:cNvPr id="1286" name="nuNumber: 697" hidden="1">
          <a:extLst>
            <a:ext uri="{FF2B5EF4-FFF2-40B4-BE49-F238E27FC236}">
              <a16:creationId xmlns:a16="http://schemas.microsoft.com/office/drawing/2014/main" id="{329DC977-1415-4BE1-B32C-576179BFE0C3}"/>
            </a:ext>
          </a:extLst>
        </xdr:cNvPr>
        <xdr:cNvSpPr/>
      </xdr:nvSpPr>
      <xdr:spPr bwMode="auto">
        <a:xfrm>
          <a:off x="11325225" y="292373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138</xdr:row>
      <xdr:rowOff>119380</xdr:rowOff>
    </xdr:from>
    <xdr:to>
      <xdr:col>16</xdr:col>
      <xdr:colOff>63500</xdr:colOff>
      <xdr:row>139</xdr:row>
      <xdr:rowOff>0</xdr:rowOff>
    </xdr:to>
    <xdr:sp macro="" textlink="">
      <xdr:nvSpPr>
        <xdr:cNvPr id="1287" name="nuNumber: 698" hidden="1">
          <a:extLst>
            <a:ext uri="{FF2B5EF4-FFF2-40B4-BE49-F238E27FC236}">
              <a16:creationId xmlns:a16="http://schemas.microsoft.com/office/drawing/2014/main" id="{FA98571A-E244-4050-8E7B-B60E9ABB0A47}"/>
            </a:ext>
          </a:extLst>
        </xdr:cNvPr>
        <xdr:cNvSpPr/>
      </xdr:nvSpPr>
      <xdr:spPr bwMode="auto">
        <a:xfrm>
          <a:off x="12106275" y="292373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138</xdr:row>
      <xdr:rowOff>119380</xdr:rowOff>
    </xdr:from>
    <xdr:to>
      <xdr:col>17</xdr:col>
      <xdr:colOff>63500</xdr:colOff>
      <xdr:row>139</xdr:row>
      <xdr:rowOff>0</xdr:rowOff>
    </xdr:to>
    <xdr:sp macro="" textlink="">
      <xdr:nvSpPr>
        <xdr:cNvPr id="1288" name="nuNumber: 699" hidden="1">
          <a:extLst>
            <a:ext uri="{FF2B5EF4-FFF2-40B4-BE49-F238E27FC236}">
              <a16:creationId xmlns:a16="http://schemas.microsoft.com/office/drawing/2014/main" id="{4C05D191-2D08-4982-A0DD-169F6846FCF4}"/>
            </a:ext>
          </a:extLst>
        </xdr:cNvPr>
        <xdr:cNvSpPr/>
      </xdr:nvSpPr>
      <xdr:spPr bwMode="auto">
        <a:xfrm>
          <a:off x="12887325" y="292373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138</xdr:row>
      <xdr:rowOff>119380</xdr:rowOff>
    </xdr:from>
    <xdr:to>
      <xdr:col>18</xdr:col>
      <xdr:colOff>63499</xdr:colOff>
      <xdr:row>139</xdr:row>
      <xdr:rowOff>0</xdr:rowOff>
    </xdr:to>
    <xdr:sp macro="" textlink="">
      <xdr:nvSpPr>
        <xdr:cNvPr id="1289" name="nuNumber: 700" hidden="1">
          <a:extLst>
            <a:ext uri="{FF2B5EF4-FFF2-40B4-BE49-F238E27FC236}">
              <a16:creationId xmlns:a16="http://schemas.microsoft.com/office/drawing/2014/main" id="{1397ECAF-AA7B-403C-8B4F-E22AC82C12F9}"/>
            </a:ext>
          </a:extLst>
        </xdr:cNvPr>
        <xdr:cNvSpPr/>
      </xdr:nvSpPr>
      <xdr:spPr bwMode="auto">
        <a:xfrm>
          <a:off x="13624559" y="29237305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138</xdr:row>
      <xdr:rowOff>119380</xdr:rowOff>
    </xdr:from>
    <xdr:to>
      <xdr:col>19</xdr:col>
      <xdr:colOff>63500</xdr:colOff>
      <xdr:row>139</xdr:row>
      <xdr:rowOff>0</xdr:rowOff>
    </xdr:to>
    <xdr:sp macro="" textlink="">
      <xdr:nvSpPr>
        <xdr:cNvPr id="1290" name="nuNumber: 701" hidden="1">
          <a:extLst>
            <a:ext uri="{FF2B5EF4-FFF2-40B4-BE49-F238E27FC236}">
              <a16:creationId xmlns:a16="http://schemas.microsoft.com/office/drawing/2014/main" id="{F21BB01A-1AB6-4416-81D8-EE71DD713A14}"/>
            </a:ext>
          </a:extLst>
        </xdr:cNvPr>
        <xdr:cNvSpPr/>
      </xdr:nvSpPr>
      <xdr:spPr bwMode="auto">
        <a:xfrm>
          <a:off x="14382750" y="292373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138</xdr:row>
      <xdr:rowOff>119380</xdr:rowOff>
    </xdr:from>
    <xdr:to>
      <xdr:col>20</xdr:col>
      <xdr:colOff>63500</xdr:colOff>
      <xdr:row>139</xdr:row>
      <xdr:rowOff>0</xdr:rowOff>
    </xdr:to>
    <xdr:sp macro="" textlink="">
      <xdr:nvSpPr>
        <xdr:cNvPr id="1291" name="nuNumber: 702" hidden="1">
          <a:extLst>
            <a:ext uri="{FF2B5EF4-FFF2-40B4-BE49-F238E27FC236}">
              <a16:creationId xmlns:a16="http://schemas.microsoft.com/office/drawing/2014/main" id="{87AC62EE-708B-4AA8-BDA5-01B75397FB45}"/>
            </a:ext>
          </a:extLst>
        </xdr:cNvPr>
        <xdr:cNvSpPr/>
      </xdr:nvSpPr>
      <xdr:spPr bwMode="auto">
        <a:xfrm>
          <a:off x="15135225" y="292373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138</xdr:row>
      <xdr:rowOff>119380</xdr:rowOff>
    </xdr:from>
    <xdr:to>
      <xdr:col>21</xdr:col>
      <xdr:colOff>63500</xdr:colOff>
      <xdr:row>139</xdr:row>
      <xdr:rowOff>0</xdr:rowOff>
    </xdr:to>
    <xdr:sp macro="" textlink="">
      <xdr:nvSpPr>
        <xdr:cNvPr id="1292" name="nuNumber: 703" hidden="1">
          <a:extLst>
            <a:ext uri="{FF2B5EF4-FFF2-40B4-BE49-F238E27FC236}">
              <a16:creationId xmlns:a16="http://schemas.microsoft.com/office/drawing/2014/main" id="{6E25C72B-5F5D-4301-B785-28340ECB7998}"/>
            </a:ext>
          </a:extLst>
        </xdr:cNvPr>
        <xdr:cNvSpPr/>
      </xdr:nvSpPr>
      <xdr:spPr bwMode="auto">
        <a:xfrm>
          <a:off x="15849600" y="292373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21</xdr:row>
      <xdr:rowOff>119380</xdr:rowOff>
    </xdr:from>
    <xdr:to>
      <xdr:col>8</xdr:col>
      <xdr:colOff>63500</xdr:colOff>
      <xdr:row>22</xdr:row>
      <xdr:rowOff>0</xdr:rowOff>
    </xdr:to>
    <xdr:sp macro="" textlink="">
      <xdr:nvSpPr>
        <xdr:cNvPr id="1293" name="nuNumber: 79" hidden="1">
          <a:extLst>
            <a:ext uri="{FF2B5EF4-FFF2-40B4-BE49-F238E27FC236}">
              <a16:creationId xmlns:a16="http://schemas.microsoft.com/office/drawing/2014/main" id="{57B2BEF8-7A60-4D67-A983-82F96F8FD313}"/>
            </a:ext>
          </a:extLst>
        </xdr:cNvPr>
        <xdr:cNvSpPr/>
      </xdr:nvSpPr>
      <xdr:spPr bwMode="auto">
        <a:xfrm>
          <a:off x="5562600" y="46151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21</xdr:row>
      <xdr:rowOff>119380</xdr:rowOff>
    </xdr:from>
    <xdr:to>
      <xdr:col>9</xdr:col>
      <xdr:colOff>63500</xdr:colOff>
      <xdr:row>22</xdr:row>
      <xdr:rowOff>0</xdr:rowOff>
    </xdr:to>
    <xdr:sp macro="" textlink="">
      <xdr:nvSpPr>
        <xdr:cNvPr id="1294" name="nuNumber: 80" hidden="1">
          <a:extLst>
            <a:ext uri="{FF2B5EF4-FFF2-40B4-BE49-F238E27FC236}">
              <a16:creationId xmlns:a16="http://schemas.microsoft.com/office/drawing/2014/main" id="{93540DC8-F398-47F4-B92A-F05614E245F4}"/>
            </a:ext>
          </a:extLst>
        </xdr:cNvPr>
        <xdr:cNvSpPr/>
      </xdr:nvSpPr>
      <xdr:spPr bwMode="auto">
        <a:xfrm>
          <a:off x="6467475" y="46151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21</xdr:row>
      <xdr:rowOff>119380</xdr:rowOff>
    </xdr:from>
    <xdr:to>
      <xdr:col>9</xdr:col>
      <xdr:colOff>63500</xdr:colOff>
      <xdr:row>22</xdr:row>
      <xdr:rowOff>0</xdr:rowOff>
    </xdr:to>
    <xdr:sp macro="" textlink="">
      <xdr:nvSpPr>
        <xdr:cNvPr id="1295" name="nuNumber: 81" hidden="1">
          <a:extLst>
            <a:ext uri="{FF2B5EF4-FFF2-40B4-BE49-F238E27FC236}">
              <a16:creationId xmlns:a16="http://schemas.microsoft.com/office/drawing/2014/main" id="{ADFC1B12-D45C-430B-8556-359AF31F27F1}"/>
            </a:ext>
          </a:extLst>
        </xdr:cNvPr>
        <xdr:cNvSpPr/>
      </xdr:nvSpPr>
      <xdr:spPr bwMode="auto">
        <a:xfrm>
          <a:off x="6467475" y="46151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21</xdr:row>
      <xdr:rowOff>119380</xdr:rowOff>
    </xdr:from>
    <xdr:to>
      <xdr:col>10</xdr:col>
      <xdr:colOff>63500</xdr:colOff>
      <xdr:row>22</xdr:row>
      <xdr:rowOff>0</xdr:rowOff>
    </xdr:to>
    <xdr:sp macro="" textlink="">
      <xdr:nvSpPr>
        <xdr:cNvPr id="1296" name="nuNumber: 82" hidden="1">
          <a:extLst>
            <a:ext uri="{FF2B5EF4-FFF2-40B4-BE49-F238E27FC236}">
              <a16:creationId xmlns:a16="http://schemas.microsoft.com/office/drawing/2014/main" id="{186FB0AE-7842-4EE4-B403-D320032F244D}"/>
            </a:ext>
          </a:extLst>
        </xdr:cNvPr>
        <xdr:cNvSpPr/>
      </xdr:nvSpPr>
      <xdr:spPr bwMode="auto">
        <a:xfrm>
          <a:off x="7315200" y="46151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21</xdr:row>
      <xdr:rowOff>119380</xdr:rowOff>
    </xdr:from>
    <xdr:to>
      <xdr:col>11</xdr:col>
      <xdr:colOff>63500</xdr:colOff>
      <xdr:row>22</xdr:row>
      <xdr:rowOff>0</xdr:rowOff>
    </xdr:to>
    <xdr:sp macro="" textlink="">
      <xdr:nvSpPr>
        <xdr:cNvPr id="1297" name="nuNumber: 83" hidden="1">
          <a:extLst>
            <a:ext uri="{FF2B5EF4-FFF2-40B4-BE49-F238E27FC236}">
              <a16:creationId xmlns:a16="http://schemas.microsoft.com/office/drawing/2014/main" id="{2EF2E481-E117-4754-B05B-8587F3F44A3A}"/>
            </a:ext>
          </a:extLst>
        </xdr:cNvPr>
        <xdr:cNvSpPr/>
      </xdr:nvSpPr>
      <xdr:spPr bwMode="auto">
        <a:xfrm>
          <a:off x="8105775" y="46151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21</xdr:row>
      <xdr:rowOff>119380</xdr:rowOff>
    </xdr:from>
    <xdr:to>
      <xdr:col>12</xdr:col>
      <xdr:colOff>63500</xdr:colOff>
      <xdr:row>22</xdr:row>
      <xdr:rowOff>0</xdr:rowOff>
    </xdr:to>
    <xdr:sp macro="" textlink="">
      <xdr:nvSpPr>
        <xdr:cNvPr id="1298" name="nuNumber: 84" hidden="1">
          <a:extLst>
            <a:ext uri="{FF2B5EF4-FFF2-40B4-BE49-F238E27FC236}">
              <a16:creationId xmlns:a16="http://schemas.microsoft.com/office/drawing/2014/main" id="{9C0918E4-36BE-4FA8-9FAF-D2457B42F522}"/>
            </a:ext>
          </a:extLst>
        </xdr:cNvPr>
        <xdr:cNvSpPr/>
      </xdr:nvSpPr>
      <xdr:spPr bwMode="auto">
        <a:xfrm>
          <a:off x="8972550" y="46151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21</xdr:row>
      <xdr:rowOff>119380</xdr:rowOff>
    </xdr:from>
    <xdr:to>
      <xdr:col>13</xdr:col>
      <xdr:colOff>63500</xdr:colOff>
      <xdr:row>22</xdr:row>
      <xdr:rowOff>0</xdr:rowOff>
    </xdr:to>
    <xdr:sp macro="" textlink="">
      <xdr:nvSpPr>
        <xdr:cNvPr id="1299" name="nuNumber: 85" hidden="1">
          <a:extLst>
            <a:ext uri="{FF2B5EF4-FFF2-40B4-BE49-F238E27FC236}">
              <a16:creationId xmlns:a16="http://schemas.microsoft.com/office/drawing/2014/main" id="{B2B601DD-5141-41B4-A845-DC5A22605CF8}"/>
            </a:ext>
          </a:extLst>
        </xdr:cNvPr>
        <xdr:cNvSpPr/>
      </xdr:nvSpPr>
      <xdr:spPr bwMode="auto">
        <a:xfrm>
          <a:off x="9753600" y="46151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21</xdr:row>
      <xdr:rowOff>119380</xdr:rowOff>
    </xdr:from>
    <xdr:to>
      <xdr:col>14</xdr:col>
      <xdr:colOff>63500</xdr:colOff>
      <xdr:row>22</xdr:row>
      <xdr:rowOff>0</xdr:rowOff>
    </xdr:to>
    <xdr:sp macro="" textlink="">
      <xdr:nvSpPr>
        <xdr:cNvPr id="1300" name="nuNumber: 86" hidden="1">
          <a:extLst>
            <a:ext uri="{FF2B5EF4-FFF2-40B4-BE49-F238E27FC236}">
              <a16:creationId xmlns:a16="http://schemas.microsoft.com/office/drawing/2014/main" id="{1C736C6C-9033-4E0E-AE98-B014622A80C8}"/>
            </a:ext>
          </a:extLst>
        </xdr:cNvPr>
        <xdr:cNvSpPr/>
      </xdr:nvSpPr>
      <xdr:spPr bwMode="auto">
        <a:xfrm>
          <a:off x="10515600" y="46151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21</xdr:row>
      <xdr:rowOff>119380</xdr:rowOff>
    </xdr:from>
    <xdr:to>
      <xdr:col>15</xdr:col>
      <xdr:colOff>63500</xdr:colOff>
      <xdr:row>22</xdr:row>
      <xdr:rowOff>0</xdr:rowOff>
    </xdr:to>
    <xdr:sp macro="" textlink="">
      <xdr:nvSpPr>
        <xdr:cNvPr id="1301" name="nuNumber: 87" hidden="1">
          <a:extLst>
            <a:ext uri="{FF2B5EF4-FFF2-40B4-BE49-F238E27FC236}">
              <a16:creationId xmlns:a16="http://schemas.microsoft.com/office/drawing/2014/main" id="{C28A82E0-19D8-4F2F-9A19-89444BA70AF5}"/>
            </a:ext>
          </a:extLst>
        </xdr:cNvPr>
        <xdr:cNvSpPr/>
      </xdr:nvSpPr>
      <xdr:spPr bwMode="auto">
        <a:xfrm>
          <a:off x="11325225" y="46151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21</xdr:row>
      <xdr:rowOff>119380</xdr:rowOff>
    </xdr:from>
    <xdr:to>
      <xdr:col>16</xdr:col>
      <xdr:colOff>63500</xdr:colOff>
      <xdr:row>22</xdr:row>
      <xdr:rowOff>0</xdr:rowOff>
    </xdr:to>
    <xdr:sp macro="" textlink="">
      <xdr:nvSpPr>
        <xdr:cNvPr id="1302" name="nuNumber: 88" hidden="1">
          <a:extLst>
            <a:ext uri="{FF2B5EF4-FFF2-40B4-BE49-F238E27FC236}">
              <a16:creationId xmlns:a16="http://schemas.microsoft.com/office/drawing/2014/main" id="{593E1E8E-DCAE-468E-9CAA-F2C1F17F39DD}"/>
            </a:ext>
          </a:extLst>
        </xdr:cNvPr>
        <xdr:cNvSpPr/>
      </xdr:nvSpPr>
      <xdr:spPr bwMode="auto">
        <a:xfrm>
          <a:off x="12106275" y="46151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21</xdr:row>
      <xdr:rowOff>119380</xdr:rowOff>
    </xdr:from>
    <xdr:to>
      <xdr:col>17</xdr:col>
      <xdr:colOff>63500</xdr:colOff>
      <xdr:row>22</xdr:row>
      <xdr:rowOff>0</xdr:rowOff>
    </xdr:to>
    <xdr:sp macro="" textlink="">
      <xdr:nvSpPr>
        <xdr:cNvPr id="1303" name="nuNumber: 89" hidden="1">
          <a:extLst>
            <a:ext uri="{FF2B5EF4-FFF2-40B4-BE49-F238E27FC236}">
              <a16:creationId xmlns:a16="http://schemas.microsoft.com/office/drawing/2014/main" id="{0F396777-F840-497D-B4F0-E07B7193C984}"/>
            </a:ext>
          </a:extLst>
        </xdr:cNvPr>
        <xdr:cNvSpPr/>
      </xdr:nvSpPr>
      <xdr:spPr bwMode="auto">
        <a:xfrm>
          <a:off x="12887325" y="46151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21</xdr:row>
      <xdr:rowOff>119380</xdr:rowOff>
    </xdr:from>
    <xdr:to>
      <xdr:col>18</xdr:col>
      <xdr:colOff>63499</xdr:colOff>
      <xdr:row>22</xdr:row>
      <xdr:rowOff>0</xdr:rowOff>
    </xdr:to>
    <xdr:sp macro="" textlink="">
      <xdr:nvSpPr>
        <xdr:cNvPr id="1304" name="nuNumber: 90" hidden="1">
          <a:extLst>
            <a:ext uri="{FF2B5EF4-FFF2-40B4-BE49-F238E27FC236}">
              <a16:creationId xmlns:a16="http://schemas.microsoft.com/office/drawing/2014/main" id="{CA08C90D-B869-4602-9E57-C514FF02F504}"/>
            </a:ext>
          </a:extLst>
        </xdr:cNvPr>
        <xdr:cNvSpPr/>
      </xdr:nvSpPr>
      <xdr:spPr bwMode="auto">
        <a:xfrm>
          <a:off x="13624559" y="461518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21</xdr:row>
      <xdr:rowOff>119380</xdr:rowOff>
    </xdr:from>
    <xdr:to>
      <xdr:col>19</xdr:col>
      <xdr:colOff>63500</xdr:colOff>
      <xdr:row>22</xdr:row>
      <xdr:rowOff>0</xdr:rowOff>
    </xdr:to>
    <xdr:sp macro="" textlink="">
      <xdr:nvSpPr>
        <xdr:cNvPr id="1305" name="nuNumber: 91" hidden="1">
          <a:extLst>
            <a:ext uri="{FF2B5EF4-FFF2-40B4-BE49-F238E27FC236}">
              <a16:creationId xmlns:a16="http://schemas.microsoft.com/office/drawing/2014/main" id="{66ACB3FC-6AB4-406C-BA30-573108480483}"/>
            </a:ext>
          </a:extLst>
        </xdr:cNvPr>
        <xdr:cNvSpPr/>
      </xdr:nvSpPr>
      <xdr:spPr bwMode="auto">
        <a:xfrm>
          <a:off x="14382750" y="46151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21</xdr:row>
      <xdr:rowOff>119380</xdr:rowOff>
    </xdr:from>
    <xdr:to>
      <xdr:col>20</xdr:col>
      <xdr:colOff>63500</xdr:colOff>
      <xdr:row>22</xdr:row>
      <xdr:rowOff>0</xdr:rowOff>
    </xdr:to>
    <xdr:sp macro="" textlink="">
      <xdr:nvSpPr>
        <xdr:cNvPr id="1306" name="nuNumber: 92" hidden="1">
          <a:extLst>
            <a:ext uri="{FF2B5EF4-FFF2-40B4-BE49-F238E27FC236}">
              <a16:creationId xmlns:a16="http://schemas.microsoft.com/office/drawing/2014/main" id="{D068F350-08C9-4B06-9DF9-78EED4ABA6BB}"/>
            </a:ext>
          </a:extLst>
        </xdr:cNvPr>
        <xdr:cNvSpPr/>
      </xdr:nvSpPr>
      <xdr:spPr bwMode="auto">
        <a:xfrm>
          <a:off x="15135225" y="46151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21</xdr:row>
      <xdr:rowOff>119380</xdr:rowOff>
    </xdr:from>
    <xdr:to>
      <xdr:col>21</xdr:col>
      <xdr:colOff>63500</xdr:colOff>
      <xdr:row>22</xdr:row>
      <xdr:rowOff>0</xdr:rowOff>
    </xdr:to>
    <xdr:sp macro="" textlink="">
      <xdr:nvSpPr>
        <xdr:cNvPr id="1307" name="nuNumber: 93" hidden="1">
          <a:extLst>
            <a:ext uri="{FF2B5EF4-FFF2-40B4-BE49-F238E27FC236}">
              <a16:creationId xmlns:a16="http://schemas.microsoft.com/office/drawing/2014/main" id="{9CE89ACD-310C-4BC2-8DC9-CF76D0D72ED5}"/>
            </a:ext>
          </a:extLst>
        </xdr:cNvPr>
        <xdr:cNvSpPr/>
      </xdr:nvSpPr>
      <xdr:spPr bwMode="auto">
        <a:xfrm>
          <a:off x="15849600" y="46151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79</xdr:row>
      <xdr:rowOff>119380</xdr:rowOff>
    </xdr:from>
    <xdr:to>
      <xdr:col>8</xdr:col>
      <xdr:colOff>63500</xdr:colOff>
      <xdr:row>80</xdr:row>
      <xdr:rowOff>0</xdr:rowOff>
    </xdr:to>
    <xdr:sp macro="" textlink="">
      <xdr:nvSpPr>
        <xdr:cNvPr id="1308" name="nuNumber: 384" hidden="1">
          <a:extLst>
            <a:ext uri="{FF2B5EF4-FFF2-40B4-BE49-F238E27FC236}">
              <a16:creationId xmlns:a16="http://schemas.microsoft.com/office/drawing/2014/main" id="{11D241BD-0767-4805-8898-59ADB043AB05}"/>
            </a:ext>
          </a:extLst>
        </xdr:cNvPr>
        <xdr:cNvSpPr/>
      </xdr:nvSpPr>
      <xdr:spPr bwMode="auto">
        <a:xfrm>
          <a:off x="5562600" y="168262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79</xdr:row>
      <xdr:rowOff>119380</xdr:rowOff>
    </xdr:from>
    <xdr:to>
      <xdr:col>9</xdr:col>
      <xdr:colOff>63500</xdr:colOff>
      <xdr:row>80</xdr:row>
      <xdr:rowOff>0</xdr:rowOff>
    </xdr:to>
    <xdr:sp macro="" textlink="">
      <xdr:nvSpPr>
        <xdr:cNvPr id="1309" name="nuNumber: 385" hidden="1">
          <a:extLst>
            <a:ext uri="{FF2B5EF4-FFF2-40B4-BE49-F238E27FC236}">
              <a16:creationId xmlns:a16="http://schemas.microsoft.com/office/drawing/2014/main" id="{EE88AB51-9C2D-4FBE-85EC-38FF03990ACD}"/>
            </a:ext>
          </a:extLst>
        </xdr:cNvPr>
        <xdr:cNvSpPr/>
      </xdr:nvSpPr>
      <xdr:spPr bwMode="auto">
        <a:xfrm>
          <a:off x="6467475" y="168262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79</xdr:row>
      <xdr:rowOff>119380</xdr:rowOff>
    </xdr:from>
    <xdr:to>
      <xdr:col>9</xdr:col>
      <xdr:colOff>63500</xdr:colOff>
      <xdr:row>80</xdr:row>
      <xdr:rowOff>0</xdr:rowOff>
    </xdr:to>
    <xdr:sp macro="" textlink="">
      <xdr:nvSpPr>
        <xdr:cNvPr id="1310" name="nuNumber: 386" hidden="1">
          <a:extLst>
            <a:ext uri="{FF2B5EF4-FFF2-40B4-BE49-F238E27FC236}">
              <a16:creationId xmlns:a16="http://schemas.microsoft.com/office/drawing/2014/main" id="{27CED2FE-CE5E-485D-9C0E-7FC1CD95B715}"/>
            </a:ext>
          </a:extLst>
        </xdr:cNvPr>
        <xdr:cNvSpPr/>
      </xdr:nvSpPr>
      <xdr:spPr bwMode="auto">
        <a:xfrm>
          <a:off x="6467475" y="168262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79</xdr:row>
      <xdr:rowOff>119380</xdr:rowOff>
    </xdr:from>
    <xdr:to>
      <xdr:col>10</xdr:col>
      <xdr:colOff>63500</xdr:colOff>
      <xdr:row>80</xdr:row>
      <xdr:rowOff>0</xdr:rowOff>
    </xdr:to>
    <xdr:sp macro="" textlink="">
      <xdr:nvSpPr>
        <xdr:cNvPr id="1311" name="nuNumber: 387" hidden="1">
          <a:extLst>
            <a:ext uri="{FF2B5EF4-FFF2-40B4-BE49-F238E27FC236}">
              <a16:creationId xmlns:a16="http://schemas.microsoft.com/office/drawing/2014/main" id="{5079BBC9-8E1F-4032-952F-165F3EB07270}"/>
            </a:ext>
          </a:extLst>
        </xdr:cNvPr>
        <xdr:cNvSpPr/>
      </xdr:nvSpPr>
      <xdr:spPr bwMode="auto">
        <a:xfrm>
          <a:off x="7315200" y="168262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79</xdr:row>
      <xdr:rowOff>119380</xdr:rowOff>
    </xdr:from>
    <xdr:to>
      <xdr:col>11</xdr:col>
      <xdr:colOff>63500</xdr:colOff>
      <xdr:row>80</xdr:row>
      <xdr:rowOff>0</xdr:rowOff>
    </xdr:to>
    <xdr:sp macro="" textlink="">
      <xdr:nvSpPr>
        <xdr:cNvPr id="1312" name="nuNumber: 388" hidden="1">
          <a:extLst>
            <a:ext uri="{FF2B5EF4-FFF2-40B4-BE49-F238E27FC236}">
              <a16:creationId xmlns:a16="http://schemas.microsoft.com/office/drawing/2014/main" id="{B87AA69C-F45E-43CD-A02E-78E1CEA89F99}"/>
            </a:ext>
          </a:extLst>
        </xdr:cNvPr>
        <xdr:cNvSpPr/>
      </xdr:nvSpPr>
      <xdr:spPr bwMode="auto">
        <a:xfrm>
          <a:off x="8105775" y="168262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79</xdr:row>
      <xdr:rowOff>119380</xdr:rowOff>
    </xdr:from>
    <xdr:to>
      <xdr:col>12</xdr:col>
      <xdr:colOff>63500</xdr:colOff>
      <xdr:row>80</xdr:row>
      <xdr:rowOff>0</xdr:rowOff>
    </xdr:to>
    <xdr:sp macro="" textlink="">
      <xdr:nvSpPr>
        <xdr:cNvPr id="1313" name="nuNumber: 389" hidden="1">
          <a:extLst>
            <a:ext uri="{FF2B5EF4-FFF2-40B4-BE49-F238E27FC236}">
              <a16:creationId xmlns:a16="http://schemas.microsoft.com/office/drawing/2014/main" id="{10F7E605-70D8-43D3-A561-43CC1B762E5A}"/>
            </a:ext>
          </a:extLst>
        </xdr:cNvPr>
        <xdr:cNvSpPr/>
      </xdr:nvSpPr>
      <xdr:spPr bwMode="auto">
        <a:xfrm>
          <a:off x="8972550" y="168262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79</xdr:row>
      <xdr:rowOff>119380</xdr:rowOff>
    </xdr:from>
    <xdr:to>
      <xdr:col>13</xdr:col>
      <xdr:colOff>63500</xdr:colOff>
      <xdr:row>80</xdr:row>
      <xdr:rowOff>0</xdr:rowOff>
    </xdr:to>
    <xdr:sp macro="" textlink="">
      <xdr:nvSpPr>
        <xdr:cNvPr id="1314" name="nuNumber: 390" hidden="1">
          <a:extLst>
            <a:ext uri="{FF2B5EF4-FFF2-40B4-BE49-F238E27FC236}">
              <a16:creationId xmlns:a16="http://schemas.microsoft.com/office/drawing/2014/main" id="{CDA7A06B-1F96-4683-8419-992711027E02}"/>
            </a:ext>
          </a:extLst>
        </xdr:cNvPr>
        <xdr:cNvSpPr/>
      </xdr:nvSpPr>
      <xdr:spPr bwMode="auto">
        <a:xfrm>
          <a:off x="9753600" y="168262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79</xdr:row>
      <xdr:rowOff>119380</xdr:rowOff>
    </xdr:from>
    <xdr:to>
      <xdr:col>14</xdr:col>
      <xdr:colOff>63500</xdr:colOff>
      <xdr:row>80</xdr:row>
      <xdr:rowOff>0</xdr:rowOff>
    </xdr:to>
    <xdr:sp macro="" textlink="">
      <xdr:nvSpPr>
        <xdr:cNvPr id="1315" name="nuNumber: 391" hidden="1">
          <a:extLst>
            <a:ext uri="{FF2B5EF4-FFF2-40B4-BE49-F238E27FC236}">
              <a16:creationId xmlns:a16="http://schemas.microsoft.com/office/drawing/2014/main" id="{04B6B4A2-58DF-4E2B-BEC2-1747F28AD517}"/>
            </a:ext>
          </a:extLst>
        </xdr:cNvPr>
        <xdr:cNvSpPr/>
      </xdr:nvSpPr>
      <xdr:spPr bwMode="auto">
        <a:xfrm>
          <a:off x="10515600" y="168262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79</xdr:row>
      <xdr:rowOff>119380</xdr:rowOff>
    </xdr:from>
    <xdr:to>
      <xdr:col>15</xdr:col>
      <xdr:colOff>63500</xdr:colOff>
      <xdr:row>80</xdr:row>
      <xdr:rowOff>0</xdr:rowOff>
    </xdr:to>
    <xdr:sp macro="" textlink="">
      <xdr:nvSpPr>
        <xdr:cNvPr id="1316" name="nuNumber: 392" hidden="1">
          <a:extLst>
            <a:ext uri="{FF2B5EF4-FFF2-40B4-BE49-F238E27FC236}">
              <a16:creationId xmlns:a16="http://schemas.microsoft.com/office/drawing/2014/main" id="{67C1B62B-3542-4BA0-8BCB-7E312FF974E2}"/>
            </a:ext>
          </a:extLst>
        </xdr:cNvPr>
        <xdr:cNvSpPr/>
      </xdr:nvSpPr>
      <xdr:spPr bwMode="auto">
        <a:xfrm>
          <a:off x="11325225" y="168262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79</xdr:row>
      <xdr:rowOff>119380</xdr:rowOff>
    </xdr:from>
    <xdr:to>
      <xdr:col>16</xdr:col>
      <xdr:colOff>63500</xdr:colOff>
      <xdr:row>80</xdr:row>
      <xdr:rowOff>0</xdr:rowOff>
    </xdr:to>
    <xdr:sp macro="" textlink="">
      <xdr:nvSpPr>
        <xdr:cNvPr id="1317" name="nuNumber: 393" hidden="1">
          <a:extLst>
            <a:ext uri="{FF2B5EF4-FFF2-40B4-BE49-F238E27FC236}">
              <a16:creationId xmlns:a16="http://schemas.microsoft.com/office/drawing/2014/main" id="{7D11E309-7B45-4039-9D36-7CDFE1E36A2F}"/>
            </a:ext>
          </a:extLst>
        </xdr:cNvPr>
        <xdr:cNvSpPr/>
      </xdr:nvSpPr>
      <xdr:spPr bwMode="auto">
        <a:xfrm>
          <a:off x="12106275" y="168262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79</xdr:row>
      <xdr:rowOff>119380</xdr:rowOff>
    </xdr:from>
    <xdr:to>
      <xdr:col>17</xdr:col>
      <xdr:colOff>63500</xdr:colOff>
      <xdr:row>80</xdr:row>
      <xdr:rowOff>0</xdr:rowOff>
    </xdr:to>
    <xdr:sp macro="" textlink="">
      <xdr:nvSpPr>
        <xdr:cNvPr id="1318" name="nuNumber: 394" hidden="1">
          <a:extLst>
            <a:ext uri="{FF2B5EF4-FFF2-40B4-BE49-F238E27FC236}">
              <a16:creationId xmlns:a16="http://schemas.microsoft.com/office/drawing/2014/main" id="{E4C405AC-9D0B-4456-BB49-D55472372A86}"/>
            </a:ext>
          </a:extLst>
        </xdr:cNvPr>
        <xdr:cNvSpPr/>
      </xdr:nvSpPr>
      <xdr:spPr bwMode="auto">
        <a:xfrm>
          <a:off x="12887325" y="168262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79</xdr:row>
      <xdr:rowOff>119380</xdr:rowOff>
    </xdr:from>
    <xdr:to>
      <xdr:col>18</xdr:col>
      <xdr:colOff>63499</xdr:colOff>
      <xdr:row>80</xdr:row>
      <xdr:rowOff>0</xdr:rowOff>
    </xdr:to>
    <xdr:sp macro="" textlink="">
      <xdr:nvSpPr>
        <xdr:cNvPr id="1319" name="nuNumber: 395" hidden="1">
          <a:extLst>
            <a:ext uri="{FF2B5EF4-FFF2-40B4-BE49-F238E27FC236}">
              <a16:creationId xmlns:a16="http://schemas.microsoft.com/office/drawing/2014/main" id="{B57821D6-3FD5-4DC5-B3D3-FE8FE829B345}"/>
            </a:ext>
          </a:extLst>
        </xdr:cNvPr>
        <xdr:cNvSpPr/>
      </xdr:nvSpPr>
      <xdr:spPr bwMode="auto">
        <a:xfrm>
          <a:off x="13624559" y="1682623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79</xdr:row>
      <xdr:rowOff>119380</xdr:rowOff>
    </xdr:from>
    <xdr:to>
      <xdr:col>19</xdr:col>
      <xdr:colOff>63500</xdr:colOff>
      <xdr:row>80</xdr:row>
      <xdr:rowOff>0</xdr:rowOff>
    </xdr:to>
    <xdr:sp macro="" textlink="">
      <xdr:nvSpPr>
        <xdr:cNvPr id="1320" name="nuNumber: 396" hidden="1">
          <a:extLst>
            <a:ext uri="{FF2B5EF4-FFF2-40B4-BE49-F238E27FC236}">
              <a16:creationId xmlns:a16="http://schemas.microsoft.com/office/drawing/2014/main" id="{891B5540-D1EB-4AAE-A306-A1B0CF38A220}"/>
            </a:ext>
          </a:extLst>
        </xdr:cNvPr>
        <xdr:cNvSpPr/>
      </xdr:nvSpPr>
      <xdr:spPr bwMode="auto">
        <a:xfrm>
          <a:off x="14382750" y="168262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79</xdr:row>
      <xdr:rowOff>119380</xdr:rowOff>
    </xdr:from>
    <xdr:to>
      <xdr:col>20</xdr:col>
      <xdr:colOff>63500</xdr:colOff>
      <xdr:row>80</xdr:row>
      <xdr:rowOff>0</xdr:rowOff>
    </xdr:to>
    <xdr:sp macro="" textlink="">
      <xdr:nvSpPr>
        <xdr:cNvPr id="1321" name="nuNumber: 397" hidden="1">
          <a:extLst>
            <a:ext uri="{FF2B5EF4-FFF2-40B4-BE49-F238E27FC236}">
              <a16:creationId xmlns:a16="http://schemas.microsoft.com/office/drawing/2014/main" id="{0D38686E-D2D2-4EFF-A093-F7CE6652D807}"/>
            </a:ext>
          </a:extLst>
        </xdr:cNvPr>
        <xdr:cNvSpPr/>
      </xdr:nvSpPr>
      <xdr:spPr bwMode="auto">
        <a:xfrm>
          <a:off x="15135225" y="168262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79</xdr:row>
      <xdr:rowOff>119380</xdr:rowOff>
    </xdr:from>
    <xdr:to>
      <xdr:col>21</xdr:col>
      <xdr:colOff>63500</xdr:colOff>
      <xdr:row>80</xdr:row>
      <xdr:rowOff>0</xdr:rowOff>
    </xdr:to>
    <xdr:sp macro="" textlink="">
      <xdr:nvSpPr>
        <xdr:cNvPr id="1322" name="nuNumber: 398" hidden="1">
          <a:extLst>
            <a:ext uri="{FF2B5EF4-FFF2-40B4-BE49-F238E27FC236}">
              <a16:creationId xmlns:a16="http://schemas.microsoft.com/office/drawing/2014/main" id="{C0143623-B378-4497-B788-995323A02C2E}"/>
            </a:ext>
          </a:extLst>
        </xdr:cNvPr>
        <xdr:cNvSpPr/>
      </xdr:nvSpPr>
      <xdr:spPr bwMode="auto">
        <a:xfrm>
          <a:off x="15849600" y="168262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139</xdr:row>
      <xdr:rowOff>119380</xdr:rowOff>
    </xdr:from>
    <xdr:to>
      <xdr:col>8</xdr:col>
      <xdr:colOff>63500</xdr:colOff>
      <xdr:row>140</xdr:row>
      <xdr:rowOff>0</xdr:rowOff>
    </xdr:to>
    <xdr:sp macro="" textlink="">
      <xdr:nvSpPr>
        <xdr:cNvPr id="1323" name="nuNumber: 689" hidden="1">
          <a:extLst>
            <a:ext uri="{FF2B5EF4-FFF2-40B4-BE49-F238E27FC236}">
              <a16:creationId xmlns:a16="http://schemas.microsoft.com/office/drawing/2014/main" id="{4B605137-6799-402D-9E46-184576E77D95}"/>
            </a:ext>
          </a:extLst>
        </xdr:cNvPr>
        <xdr:cNvSpPr/>
      </xdr:nvSpPr>
      <xdr:spPr bwMode="auto">
        <a:xfrm>
          <a:off x="5562600" y="2944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139</xdr:row>
      <xdr:rowOff>119380</xdr:rowOff>
    </xdr:from>
    <xdr:to>
      <xdr:col>9</xdr:col>
      <xdr:colOff>63500</xdr:colOff>
      <xdr:row>140</xdr:row>
      <xdr:rowOff>0</xdr:rowOff>
    </xdr:to>
    <xdr:sp macro="" textlink="">
      <xdr:nvSpPr>
        <xdr:cNvPr id="1324" name="nuNumber: 690" hidden="1">
          <a:extLst>
            <a:ext uri="{FF2B5EF4-FFF2-40B4-BE49-F238E27FC236}">
              <a16:creationId xmlns:a16="http://schemas.microsoft.com/office/drawing/2014/main" id="{7EEA4F33-67D8-4254-9ABA-907A352BAB55}"/>
            </a:ext>
          </a:extLst>
        </xdr:cNvPr>
        <xdr:cNvSpPr/>
      </xdr:nvSpPr>
      <xdr:spPr bwMode="auto">
        <a:xfrm>
          <a:off x="6467475" y="2944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139</xdr:row>
      <xdr:rowOff>119380</xdr:rowOff>
    </xdr:from>
    <xdr:to>
      <xdr:col>9</xdr:col>
      <xdr:colOff>63500</xdr:colOff>
      <xdr:row>140</xdr:row>
      <xdr:rowOff>0</xdr:rowOff>
    </xdr:to>
    <xdr:sp macro="" textlink="">
      <xdr:nvSpPr>
        <xdr:cNvPr id="1325" name="nuNumber: 691" hidden="1">
          <a:extLst>
            <a:ext uri="{FF2B5EF4-FFF2-40B4-BE49-F238E27FC236}">
              <a16:creationId xmlns:a16="http://schemas.microsoft.com/office/drawing/2014/main" id="{4CDCA3C7-B8C3-4AEB-9A64-9A8A4CDBB181}"/>
            </a:ext>
          </a:extLst>
        </xdr:cNvPr>
        <xdr:cNvSpPr/>
      </xdr:nvSpPr>
      <xdr:spPr bwMode="auto">
        <a:xfrm>
          <a:off x="6467475" y="2944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139</xdr:row>
      <xdr:rowOff>119380</xdr:rowOff>
    </xdr:from>
    <xdr:to>
      <xdr:col>10</xdr:col>
      <xdr:colOff>63500</xdr:colOff>
      <xdr:row>140</xdr:row>
      <xdr:rowOff>0</xdr:rowOff>
    </xdr:to>
    <xdr:sp macro="" textlink="">
      <xdr:nvSpPr>
        <xdr:cNvPr id="1326" name="nuNumber: 692" hidden="1">
          <a:extLst>
            <a:ext uri="{FF2B5EF4-FFF2-40B4-BE49-F238E27FC236}">
              <a16:creationId xmlns:a16="http://schemas.microsoft.com/office/drawing/2014/main" id="{74D5F391-4A48-4403-82ED-24A2E5C8C9D1}"/>
            </a:ext>
          </a:extLst>
        </xdr:cNvPr>
        <xdr:cNvSpPr/>
      </xdr:nvSpPr>
      <xdr:spPr bwMode="auto">
        <a:xfrm>
          <a:off x="7315200" y="2944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139</xdr:row>
      <xdr:rowOff>119380</xdr:rowOff>
    </xdr:from>
    <xdr:to>
      <xdr:col>11</xdr:col>
      <xdr:colOff>63500</xdr:colOff>
      <xdr:row>140</xdr:row>
      <xdr:rowOff>0</xdr:rowOff>
    </xdr:to>
    <xdr:sp macro="" textlink="">
      <xdr:nvSpPr>
        <xdr:cNvPr id="1327" name="nuNumber: 693" hidden="1">
          <a:extLst>
            <a:ext uri="{FF2B5EF4-FFF2-40B4-BE49-F238E27FC236}">
              <a16:creationId xmlns:a16="http://schemas.microsoft.com/office/drawing/2014/main" id="{E3CB3C2F-EDCF-4593-884B-5293914DA39C}"/>
            </a:ext>
          </a:extLst>
        </xdr:cNvPr>
        <xdr:cNvSpPr/>
      </xdr:nvSpPr>
      <xdr:spPr bwMode="auto">
        <a:xfrm>
          <a:off x="8105775" y="2944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139</xdr:row>
      <xdr:rowOff>119380</xdr:rowOff>
    </xdr:from>
    <xdr:to>
      <xdr:col>12</xdr:col>
      <xdr:colOff>63500</xdr:colOff>
      <xdr:row>140</xdr:row>
      <xdr:rowOff>0</xdr:rowOff>
    </xdr:to>
    <xdr:sp macro="" textlink="">
      <xdr:nvSpPr>
        <xdr:cNvPr id="1328" name="nuNumber: 694" hidden="1">
          <a:extLst>
            <a:ext uri="{FF2B5EF4-FFF2-40B4-BE49-F238E27FC236}">
              <a16:creationId xmlns:a16="http://schemas.microsoft.com/office/drawing/2014/main" id="{08F031F5-598C-402B-AC56-04209C28C1A6}"/>
            </a:ext>
          </a:extLst>
        </xdr:cNvPr>
        <xdr:cNvSpPr/>
      </xdr:nvSpPr>
      <xdr:spPr bwMode="auto">
        <a:xfrm>
          <a:off x="8972550" y="2944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139</xdr:row>
      <xdr:rowOff>119380</xdr:rowOff>
    </xdr:from>
    <xdr:to>
      <xdr:col>13</xdr:col>
      <xdr:colOff>63500</xdr:colOff>
      <xdr:row>140</xdr:row>
      <xdr:rowOff>0</xdr:rowOff>
    </xdr:to>
    <xdr:sp macro="" textlink="">
      <xdr:nvSpPr>
        <xdr:cNvPr id="1329" name="nuNumber: 695" hidden="1">
          <a:extLst>
            <a:ext uri="{FF2B5EF4-FFF2-40B4-BE49-F238E27FC236}">
              <a16:creationId xmlns:a16="http://schemas.microsoft.com/office/drawing/2014/main" id="{74AB5AC1-0912-4E1E-BCCC-78D82F1C4B71}"/>
            </a:ext>
          </a:extLst>
        </xdr:cNvPr>
        <xdr:cNvSpPr/>
      </xdr:nvSpPr>
      <xdr:spPr bwMode="auto">
        <a:xfrm>
          <a:off x="9753600" y="2944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139</xdr:row>
      <xdr:rowOff>119380</xdr:rowOff>
    </xdr:from>
    <xdr:to>
      <xdr:col>14</xdr:col>
      <xdr:colOff>63500</xdr:colOff>
      <xdr:row>140</xdr:row>
      <xdr:rowOff>0</xdr:rowOff>
    </xdr:to>
    <xdr:sp macro="" textlink="">
      <xdr:nvSpPr>
        <xdr:cNvPr id="1330" name="nuNumber: 696" hidden="1">
          <a:extLst>
            <a:ext uri="{FF2B5EF4-FFF2-40B4-BE49-F238E27FC236}">
              <a16:creationId xmlns:a16="http://schemas.microsoft.com/office/drawing/2014/main" id="{C6A21CBB-953D-448F-94F6-5AE5A5503681}"/>
            </a:ext>
          </a:extLst>
        </xdr:cNvPr>
        <xdr:cNvSpPr/>
      </xdr:nvSpPr>
      <xdr:spPr bwMode="auto">
        <a:xfrm>
          <a:off x="10515600" y="2944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139</xdr:row>
      <xdr:rowOff>119380</xdr:rowOff>
    </xdr:from>
    <xdr:to>
      <xdr:col>15</xdr:col>
      <xdr:colOff>63500</xdr:colOff>
      <xdr:row>140</xdr:row>
      <xdr:rowOff>0</xdr:rowOff>
    </xdr:to>
    <xdr:sp macro="" textlink="">
      <xdr:nvSpPr>
        <xdr:cNvPr id="1331" name="nuNumber: 697" hidden="1">
          <a:extLst>
            <a:ext uri="{FF2B5EF4-FFF2-40B4-BE49-F238E27FC236}">
              <a16:creationId xmlns:a16="http://schemas.microsoft.com/office/drawing/2014/main" id="{86E37ED6-9492-466E-839A-4F7BE0BD8B61}"/>
            </a:ext>
          </a:extLst>
        </xdr:cNvPr>
        <xdr:cNvSpPr/>
      </xdr:nvSpPr>
      <xdr:spPr bwMode="auto">
        <a:xfrm>
          <a:off x="11325225" y="2944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139</xdr:row>
      <xdr:rowOff>119380</xdr:rowOff>
    </xdr:from>
    <xdr:to>
      <xdr:col>16</xdr:col>
      <xdr:colOff>63500</xdr:colOff>
      <xdr:row>140</xdr:row>
      <xdr:rowOff>0</xdr:rowOff>
    </xdr:to>
    <xdr:sp macro="" textlink="">
      <xdr:nvSpPr>
        <xdr:cNvPr id="1332" name="nuNumber: 698" hidden="1">
          <a:extLst>
            <a:ext uri="{FF2B5EF4-FFF2-40B4-BE49-F238E27FC236}">
              <a16:creationId xmlns:a16="http://schemas.microsoft.com/office/drawing/2014/main" id="{F4770540-1357-4DD3-BBB7-45C9598B103A}"/>
            </a:ext>
          </a:extLst>
        </xdr:cNvPr>
        <xdr:cNvSpPr/>
      </xdr:nvSpPr>
      <xdr:spPr bwMode="auto">
        <a:xfrm>
          <a:off x="12106275" y="2944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139</xdr:row>
      <xdr:rowOff>119380</xdr:rowOff>
    </xdr:from>
    <xdr:to>
      <xdr:col>17</xdr:col>
      <xdr:colOff>63500</xdr:colOff>
      <xdr:row>140</xdr:row>
      <xdr:rowOff>0</xdr:rowOff>
    </xdr:to>
    <xdr:sp macro="" textlink="">
      <xdr:nvSpPr>
        <xdr:cNvPr id="1333" name="nuNumber: 699" hidden="1">
          <a:extLst>
            <a:ext uri="{FF2B5EF4-FFF2-40B4-BE49-F238E27FC236}">
              <a16:creationId xmlns:a16="http://schemas.microsoft.com/office/drawing/2014/main" id="{ED5B071F-980C-43AA-9A6A-5C1FDA6DF8EE}"/>
            </a:ext>
          </a:extLst>
        </xdr:cNvPr>
        <xdr:cNvSpPr/>
      </xdr:nvSpPr>
      <xdr:spPr bwMode="auto">
        <a:xfrm>
          <a:off x="12887325" y="2944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139</xdr:row>
      <xdr:rowOff>119380</xdr:rowOff>
    </xdr:from>
    <xdr:to>
      <xdr:col>18</xdr:col>
      <xdr:colOff>63499</xdr:colOff>
      <xdr:row>140</xdr:row>
      <xdr:rowOff>0</xdr:rowOff>
    </xdr:to>
    <xdr:sp macro="" textlink="">
      <xdr:nvSpPr>
        <xdr:cNvPr id="1334" name="nuNumber: 700" hidden="1">
          <a:extLst>
            <a:ext uri="{FF2B5EF4-FFF2-40B4-BE49-F238E27FC236}">
              <a16:creationId xmlns:a16="http://schemas.microsoft.com/office/drawing/2014/main" id="{710692EF-E9BF-4782-A620-F74683993990}"/>
            </a:ext>
          </a:extLst>
        </xdr:cNvPr>
        <xdr:cNvSpPr/>
      </xdr:nvSpPr>
      <xdr:spPr bwMode="auto">
        <a:xfrm>
          <a:off x="13624559" y="29446855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139</xdr:row>
      <xdr:rowOff>119380</xdr:rowOff>
    </xdr:from>
    <xdr:to>
      <xdr:col>19</xdr:col>
      <xdr:colOff>63500</xdr:colOff>
      <xdr:row>140</xdr:row>
      <xdr:rowOff>0</xdr:rowOff>
    </xdr:to>
    <xdr:sp macro="" textlink="">
      <xdr:nvSpPr>
        <xdr:cNvPr id="1335" name="nuNumber: 701" hidden="1">
          <a:extLst>
            <a:ext uri="{FF2B5EF4-FFF2-40B4-BE49-F238E27FC236}">
              <a16:creationId xmlns:a16="http://schemas.microsoft.com/office/drawing/2014/main" id="{AA864BDD-EF78-4FA6-A91A-2E0445F47EB9}"/>
            </a:ext>
          </a:extLst>
        </xdr:cNvPr>
        <xdr:cNvSpPr/>
      </xdr:nvSpPr>
      <xdr:spPr bwMode="auto">
        <a:xfrm>
          <a:off x="14382750" y="2944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139</xdr:row>
      <xdr:rowOff>119380</xdr:rowOff>
    </xdr:from>
    <xdr:to>
      <xdr:col>20</xdr:col>
      <xdr:colOff>63500</xdr:colOff>
      <xdr:row>140</xdr:row>
      <xdr:rowOff>0</xdr:rowOff>
    </xdr:to>
    <xdr:sp macro="" textlink="">
      <xdr:nvSpPr>
        <xdr:cNvPr id="1336" name="nuNumber: 702" hidden="1">
          <a:extLst>
            <a:ext uri="{FF2B5EF4-FFF2-40B4-BE49-F238E27FC236}">
              <a16:creationId xmlns:a16="http://schemas.microsoft.com/office/drawing/2014/main" id="{B68403A0-F47F-40E1-9D87-CC0653C14E7E}"/>
            </a:ext>
          </a:extLst>
        </xdr:cNvPr>
        <xdr:cNvSpPr/>
      </xdr:nvSpPr>
      <xdr:spPr bwMode="auto">
        <a:xfrm>
          <a:off x="15135225" y="2944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139</xdr:row>
      <xdr:rowOff>119380</xdr:rowOff>
    </xdr:from>
    <xdr:to>
      <xdr:col>21</xdr:col>
      <xdr:colOff>63500</xdr:colOff>
      <xdr:row>140</xdr:row>
      <xdr:rowOff>0</xdr:rowOff>
    </xdr:to>
    <xdr:sp macro="" textlink="">
      <xdr:nvSpPr>
        <xdr:cNvPr id="1337" name="nuNumber: 703" hidden="1">
          <a:extLst>
            <a:ext uri="{FF2B5EF4-FFF2-40B4-BE49-F238E27FC236}">
              <a16:creationId xmlns:a16="http://schemas.microsoft.com/office/drawing/2014/main" id="{02C41FCF-F23A-42CF-9CFF-F79F85C6CCA9}"/>
            </a:ext>
          </a:extLst>
        </xdr:cNvPr>
        <xdr:cNvSpPr/>
      </xdr:nvSpPr>
      <xdr:spPr bwMode="auto">
        <a:xfrm>
          <a:off x="15849600" y="2944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109</xdr:row>
      <xdr:rowOff>119381</xdr:rowOff>
    </xdr:from>
    <xdr:to>
      <xdr:col>7</xdr:col>
      <xdr:colOff>63500</xdr:colOff>
      <xdr:row>110</xdr:row>
      <xdr:rowOff>1</xdr:rowOff>
    </xdr:to>
    <xdr:sp macro="" textlink="">
      <xdr:nvSpPr>
        <xdr:cNvPr id="1338" name="nuNumber: 600" hidden="1">
          <a:extLst>
            <a:ext uri="{FF2B5EF4-FFF2-40B4-BE49-F238E27FC236}">
              <a16:creationId xmlns:a16="http://schemas.microsoft.com/office/drawing/2014/main" id="{787B0136-3D9C-4F01-AD7E-753D53420F06}"/>
            </a:ext>
          </a:extLst>
        </xdr:cNvPr>
        <xdr:cNvSpPr/>
      </xdr:nvSpPr>
      <xdr:spPr bwMode="auto">
        <a:xfrm>
          <a:off x="4676775" y="231413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109</xdr:row>
      <xdr:rowOff>119381</xdr:rowOff>
    </xdr:from>
    <xdr:to>
      <xdr:col>8</xdr:col>
      <xdr:colOff>63500</xdr:colOff>
      <xdr:row>110</xdr:row>
      <xdr:rowOff>1</xdr:rowOff>
    </xdr:to>
    <xdr:sp macro="" textlink="">
      <xdr:nvSpPr>
        <xdr:cNvPr id="1339" name="nuNumber: 601" hidden="1">
          <a:extLst>
            <a:ext uri="{FF2B5EF4-FFF2-40B4-BE49-F238E27FC236}">
              <a16:creationId xmlns:a16="http://schemas.microsoft.com/office/drawing/2014/main" id="{CF95663B-9050-4A25-8F1B-5D7497B13A49}"/>
            </a:ext>
          </a:extLst>
        </xdr:cNvPr>
        <xdr:cNvSpPr/>
      </xdr:nvSpPr>
      <xdr:spPr bwMode="auto">
        <a:xfrm>
          <a:off x="5562600" y="231413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109</xdr:row>
      <xdr:rowOff>119381</xdr:rowOff>
    </xdr:from>
    <xdr:to>
      <xdr:col>9</xdr:col>
      <xdr:colOff>63500</xdr:colOff>
      <xdr:row>110</xdr:row>
      <xdr:rowOff>1</xdr:rowOff>
    </xdr:to>
    <xdr:sp macro="" textlink="">
      <xdr:nvSpPr>
        <xdr:cNvPr id="1340" name="nuNumber: 602" hidden="1">
          <a:extLst>
            <a:ext uri="{FF2B5EF4-FFF2-40B4-BE49-F238E27FC236}">
              <a16:creationId xmlns:a16="http://schemas.microsoft.com/office/drawing/2014/main" id="{CA4BE446-54A2-472C-B7A7-B9ACA8B93D4B}"/>
            </a:ext>
          </a:extLst>
        </xdr:cNvPr>
        <xdr:cNvSpPr/>
      </xdr:nvSpPr>
      <xdr:spPr bwMode="auto">
        <a:xfrm>
          <a:off x="6467475" y="231413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109</xdr:row>
      <xdr:rowOff>119381</xdr:rowOff>
    </xdr:from>
    <xdr:to>
      <xdr:col>11</xdr:col>
      <xdr:colOff>63500</xdr:colOff>
      <xdr:row>110</xdr:row>
      <xdr:rowOff>1</xdr:rowOff>
    </xdr:to>
    <xdr:sp macro="" textlink="">
      <xdr:nvSpPr>
        <xdr:cNvPr id="1341" name="nuNumber: 603" hidden="1">
          <a:extLst>
            <a:ext uri="{FF2B5EF4-FFF2-40B4-BE49-F238E27FC236}">
              <a16:creationId xmlns:a16="http://schemas.microsoft.com/office/drawing/2014/main" id="{67BF59EC-9D09-4B18-A2AF-E6EA15BF0E48}"/>
            </a:ext>
          </a:extLst>
        </xdr:cNvPr>
        <xdr:cNvSpPr/>
      </xdr:nvSpPr>
      <xdr:spPr bwMode="auto">
        <a:xfrm>
          <a:off x="8105775" y="231413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109</xdr:row>
      <xdr:rowOff>119381</xdr:rowOff>
    </xdr:from>
    <xdr:to>
      <xdr:col>12</xdr:col>
      <xdr:colOff>63500</xdr:colOff>
      <xdr:row>110</xdr:row>
      <xdr:rowOff>1</xdr:rowOff>
    </xdr:to>
    <xdr:sp macro="" textlink="">
      <xdr:nvSpPr>
        <xdr:cNvPr id="1342" name="nuNumber: 604" hidden="1">
          <a:extLst>
            <a:ext uri="{FF2B5EF4-FFF2-40B4-BE49-F238E27FC236}">
              <a16:creationId xmlns:a16="http://schemas.microsoft.com/office/drawing/2014/main" id="{16CFB17F-E8AF-40C2-AD50-E77EB266F5FC}"/>
            </a:ext>
          </a:extLst>
        </xdr:cNvPr>
        <xdr:cNvSpPr/>
      </xdr:nvSpPr>
      <xdr:spPr bwMode="auto">
        <a:xfrm>
          <a:off x="8972550" y="231413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109</xdr:row>
      <xdr:rowOff>119381</xdr:rowOff>
    </xdr:from>
    <xdr:to>
      <xdr:col>13</xdr:col>
      <xdr:colOff>63500</xdr:colOff>
      <xdr:row>110</xdr:row>
      <xdr:rowOff>1</xdr:rowOff>
    </xdr:to>
    <xdr:sp macro="" textlink="">
      <xdr:nvSpPr>
        <xdr:cNvPr id="1343" name="nuNumber: 605" hidden="1">
          <a:extLst>
            <a:ext uri="{FF2B5EF4-FFF2-40B4-BE49-F238E27FC236}">
              <a16:creationId xmlns:a16="http://schemas.microsoft.com/office/drawing/2014/main" id="{C567C274-B640-43C9-9B3C-27D327B307F2}"/>
            </a:ext>
          </a:extLst>
        </xdr:cNvPr>
        <xdr:cNvSpPr/>
      </xdr:nvSpPr>
      <xdr:spPr bwMode="auto">
        <a:xfrm>
          <a:off x="9753600" y="231413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109</xdr:row>
      <xdr:rowOff>119381</xdr:rowOff>
    </xdr:from>
    <xdr:to>
      <xdr:col>14</xdr:col>
      <xdr:colOff>63500</xdr:colOff>
      <xdr:row>110</xdr:row>
      <xdr:rowOff>1</xdr:rowOff>
    </xdr:to>
    <xdr:sp macro="" textlink="">
      <xdr:nvSpPr>
        <xdr:cNvPr id="1344" name="nuNumber: 606" hidden="1">
          <a:extLst>
            <a:ext uri="{FF2B5EF4-FFF2-40B4-BE49-F238E27FC236}">
              <a16:creationId xmlns:a16="http://schemas.microsoft.com/office/drawing/2014/main" id="{DAEAE0C2-1180-4053-BE22-A5FE39AB4468}"/>
            </a:ext>
          </a:extLst>
        </xdr:cNvPr>
        <xdr:cNvSpPr/>
      </xdr:nvSpPr>
      <xdr:spPr bwMode="auto">
        <a:xfrm>
          <a:off x="10515600" y="231413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109</xdr:row>
      <xdr:rowOff>119381</xdr:rowOff>
    </xdr:from>
    <xdr:to>
      <xdr:col>15</xdr:col>
      <xdr:colOff>63500</xdr:colOff>
      <xdr:row>110</xdr:row>
      <xdr:rowOff>1</xdr:rowOff>
    </xdr:to>
    <xdr:sp macro="" textlink="">
      <xdr:nvSpPr>
        <xdr:cNvPr id="1345" name="nuNumber: 607" hidden="1">
          <a:extLst>
            <a:ext uri="{FF2B5EF4-FFF2-40B4-BE49-F238E27FC236}">
              <a16:creationId xmlns:a16="http://schemas.microsoft.com/office/drawing/2014/main" id="{B68F7D05-61F2-45CF-A3EF-EB2DF3ABB761}"/>
            </a:ext>
          </a:extLst>
        </xdr:cNvPr>
        <xdr:cNvSpPr/>
      </xdr:nvSpPr>
      <xdr:spPr bwMode="auto">
        <a:xfrm>
          <a:off x="11325225" y="231413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109</xdr:row>
      <xdr:rowOff>119381</xdr:rowOff>
    </xdr:from>
    <xdr:to>
      <xdr:col>16</xdr:col>
      <xdr:colOff>63500</xdr:colOff>
      <xdr:row>110</xdr:row>
      <xdr:rowOff>1</xdr:rowOff>
    </xdr:to>
    <xdr:sp macro="" textlink="">
      <xdr:nvSpPr>
        <xdr:cNvPr id="1346" name="nuNumber: 608" hidden="1">
          <a:extLst>
            <a:ext uri="{FF2B5EF4-FFF2-40B4-BE49-F238E27FC236}">
              <a16:creationId xmlns:a16="http://schemas.microsoft.com/office/drawing/2014/main" id="{7659BC02-68F7-4C3D-8FA2-CCF61E2FF9D8}"/>
            </a:ext>
          </a:extLst>
        </xdr:cNvPr>
        <xdr:cNvSpPr/>
      </xdr:nvSpPr>
      <xdr:spPr bwMode="auto">
        <a:xfrm>
          <a:off x="12106275" y="231413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109</xdr:row>
      <xdr:rowOff>119381</xdr:rowOff>
    </xdr:from>
    <xdr:to>
      <xdr:col>17</xdr:col>
      <xdr:colOff>63500</xdr:colOff>
      <xdr:row>110</xdr:row>
      <xdr:rowOff>1</xdr:rowOff>
    </xdr:to>
    <xdr:sp macro="" textlink="">
      <xdr:nvSpPr>
        <xdr:cNvPr id="1347" name="nuNumber: 609" hidden="1">
          <a:extLst>
            <a:ext uri="{FF2B5EF4-FFF2-40B4-BE49-F238E27FC236}">
              <a16:creationId xmlns:a16="http://schemas.microsoft.com/office/drawing/2014/main" id="{EEB5E0E2-2ADB-40EE-BA14-F1C902D2C216}"/>
            </a:ext>
          </a:extLst>
        </xdr:cNvPr>
        <xdr:cNvSpPr/>
      </xdr:nvSpPr>
      <xdr:spPr bwMode="auto">
        <a:xfrm>
          <a:off x="12887325" y="231413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109</xdr:row>
      <xdr:rowOff>119381</xdr:rowOff>
    </xdr:from>
    <xdr:to>
      <xdr:col>18</xdr:col>
      <xdr:colOff>63499</xdr:colOff>
      <xdr:row>110</xdr:row>
      <xdr:rowOff>1</xdr:rowOff>
    </xdr:to>
    <xdr:sp macro="" textlink="">
      <xdr:nvSpPr>
        <xdr:cNvPr id="1348" name="nuNumber: 610" hidden="1">
          <a:extLst>
            <a:ext uri="{FF2B5EF4-FFF2-40B4-BE49-F238E27FC236}">
              <a16:creationId xmlns:a16="http://schemas.microsoft.com/office/drawing/2014/main" id="{4F8CF79A-C7FF-4B57-A11C-A483DCDDCA95}"/>
            </a:ext>
          </a:extLst>
        </xdr:cNvPr>
        <xdr:cNvSpPr/>
      </xdr:nvSpPr>
      <xdr:spPr bwMode="auto">
        <a:xfrm>
          <a:off x="13624559" y="23141306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109</xdr:row>
      <xdr:rowOff>119381</xdr:rowOff>
    </xdr:from>
    <xdr:to>
      <xdr:col>19</xdr:col>
      <xdr:colOff>63500</xdr:colOff>
      <xdr:row>110</xdr:row>
      <xdr:rowOff>1</xdr:rowOff>
    </xdr:to>
    <xdr:sp macro="" textlink="">
      <xdr:nvSpPr>
        <xdr:cNvPr id="1349" name="nuNumber: 611" hidden="1">
          <a:extLst>
            <a:ext uri="{FF2B5EF4-FFF2-40B4-BE49-F238E27FC236}">
              <a16:creationId xmlns:a16="http://schemas.microsoft.com/office/drawing/2014/main" id="{2A6BD9B0-C7EF-4E4A-A078-4AFEA80D2F53}"/>
            </a:ext>
          </a:extLst>
        </xdr:cNvPr>
        <xdr:cNvSpPr/>
      </xdr:nvSpPr>
      <xdr:spPr bwMode="auto">
        <a:xfrm>
          <a:off x="14382750" y="231413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109</xdr:row>
      <xdr:rowOff>119381</xdr:rowOff>
    </xdr:from>
    <xdr:to>
      <xdr:col>20</xdr:col>
      <xdr:colOff>63500</xdr:colOff>
      <xdr:row>110</xdr:row>
      <xdr:rowOff>1</xdr:rowOff>
    </xdr:to>
    <xdr:sp macro="" textlink="">
      <xdr:nvSpPr>
        <xdr:cNvPr id="1350" name="nuNumber: 612" hidden="1">
          <a:extLst>
            <a:ext uri="{FF2B5EF4-FFF2-40B4-BE49-F238E27FC236}">
              <a16:creationId xmlns:a16="http://schemas.microsoft.com/office/drawing/2014/main" id="{646334A7-FA4A-4B24-9CFF-D085602F2C9A}"/>
            </a:ext>
          </a:extLst>
        </xdr:cNvPr>
        <xdr:cNvSpPr/>
      </xdr:nvSpPr>
      <xdr:spPr bwMode="auto">
        <a:xfrm>
          <a:off x="15135225" y="231413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109</xdr:row>
      <xdr:rowOff>119381</xdr:rowOff>
    </xdr:from>
    <xdr:to>
      <xdr:col>21</xdr:col>
      <xdr:colOff>63500</xdr:colOff>
      <xdr:row>110</xdr:row>
      <xdr:rowOff>1</xdr:rowOff>
    </xdr:to>
    <xdr:sp macro="" textlink="">
      <xdr:nvSpPr>
        <xdr:cNvPr id="1351" name="nuNumber: 613" hidden="1">
          <a:extLst>
            <a:ext uri="{FF2B5EF4-FFF2-40B4-BE49-F238E27FC236}">
              <a16:creationId xmlns:a16="http://schemas.microsoft.com/office/drawing/2014/main" id="{1E39C6E6-20EB-4FE8-92FF-74189F8D7EF3}"/>
            </a:ext>
          </a:extLst>
        </xdr:cNvPr>
        <xdr:cNvSpPr/>
      </xdr:nvSpPr>
      <xdr:spPr bwMode="auto">
        <a:xfrm>
          <a:off x="15849600" y="231413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169</xdr:row>
      <xdr:rowOff>119381</xdr:rowOff>
    </xdr:from>
    <xdr:to>
      <xdr:col>7</xdr:col>
      <xdr:colOff>63500</xdr:colOff>
      <xdr:row>170</xdr:row>
      <xdr:rowOff>1</xdr:rowOff>
    </xdr:to>
    <xdr:sp macro="" textlink="">
      <xdr:nvSpPr>
        <xdr:cNvPr id="1352" name="nuNumber: 905" hidden="1">
          <a:extLst>
            <a:ext uri="{FF2B5EF4-FFF2-40B4-BE49-F238E27FC236}">
              <a16:creationId xmlns:a16="http://schemas.microsoft.com/office/drawing/2014/main" id="{C2F1983C-F989-4E32-9F1F-E055B905BA3A}"/>
            </a:ext>
          </a:extLst>
        </xdr:cNvPr>
        <xdr:cNvSpPr/>
      </xdr:nvSpPr>
      <xdr:spPr bwMode="auto">
        <a:xfrm>
          <a:off x="4676775" y="357714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169</xdr:row>
      <xdr:rowOff>119381</xdr:rowOff>
    </xdr:from>
    <xdr:to>
      <xdr:col>9</xdr:col>
      <xdr:colOff>63500</xdr:colOff>
      <xdr:row>170</xdr:row>
      <xdr:rowOff>1</xdr:rowOff>
    </xdr:to>
    <xdr:sp macro="" textlink="">
      <xdr:nvSpPr>
        <xdr:cNvPr id="1353" name="nuNumber: 906" hidden="1">
          <a:extLst>
            <a:ext uri="{FF2B5EF4-FFF2-40B4-BE49-F238E27FC236}">
              <a16:creationId xmlns:a16="http://schemas.microsoft.com/office/drawing/2014/main" id="{226D270F-FC35-405F-A971-FC7D01704F64}"/>
            </a:ext>
          </a:extLst>
        </xdr:cNvPr>
        <xdr:cNvSpPr/>
      </xdr:nvSpPr>
      <xdr:spPr bwMode="auto">
        <a:xfrm>
          <a:off x="6467475" y="357714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169</xdr:row>
      <xdr:rowOff>119381</xdr:rowOff>
    </xdr:from>
    <xdr:to>
      <xdr:col>11</xdr:col>
      <xdr:colOff>63500</xdr:colOff>
      <xdr:row>170</xdr:row>
      <xdr:rowOff>1</xdr:rowOff>
    </xdr:to>
    <xdr:sp macro="" textlink="">
      <xdr:nvSpPr>
        <xdr:cNvPr id="1354" name="nuNumber: 907" hidden="1">
          <a:extLst>
            <a:ext uri="{FF2B5EF4-FFF2-40B4-BE49-F238E27FC236}">
              <a16:creationId xmlns:a16="http://schemas.microsoft.com/office/drawing/2014/main" id="{F2EDBCC1-A9EB-4DAC-951E-B936F979C23C}"/>
            </a:ext>
          </a:extLst>
        </xdr:cNvPr>
        <xdr:cNvSpPr/>
      </xdr:nvSpPr>
      <xdr:spPr bwMode="auto">
        <a:xfrm>
          <a:off x="8105775" y="357714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169</xdr:row>
      <xdr:rowOff>119381</xdr:rowOff>
    </xdr:from>
    <xdr:to>
      <xdr:col>12</xdr:col>
      <xdr:colOff>63500</xdr:colOff>
      <xdr:row>170</xdr:row>
      <xdr:rowOff>1</xdr:rowOff>
    </xdr:to>
    <xdr:sp macro="" textlink="">
      <xdr:nvSpPr>
        <xdr:cNvPr id="1355" name="nuNumber: 908" hidden="1">
          <a:extLst>
            <a:ext uri="{FF2B5EF4-FFF2-40B4-BE49-F238E27FC236}">
              <a16:creationId xmlns:a16="http://schemas.microsoft.com/office/drawing/2014/main" id="{03348279-0802-4E60-A86E-869FDE20267D}"/>
            </a:ext>
          </a:extLst>
        </xdr:cNvPr>
        <xdr:cNvSpPr/>
      </xdr:nvSpPr>
      <xdr:spPr bwMode="auto">
        <a:xfrm>
          <a:off x="8972550" y="357714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169</xdr:row>
      <xdr:rowOff>119381</xdr:rowOff>
    </xdr:from>
    <xdr:to>
      <xdr:col>13</xdr:col>
      <xdr:colOff>63500</xdr:colOff>
      <xdr:row>170</xdr:row>
      <xdr:rowOff>1</xdr:rowOff>
    </xdr:to>
    <xdr:sp macro="" textlink="">
      <xdr:nvSpPr>
        <xdr:cNvPr id="1356" name="nuNumber: 909" hidden="1">
          <a:extLst>
            <a:ext uri="{FF2B5EF4-FFF2-40B4-BE49-F238E27FC236}">
              <a16:creationId xmlns:a16="http://schemas.microsoft.com/office/drawing/2014/main" id="{521FC5E8-B1E9-4642-80B6-49FB93501093}"/>
            </a:ext>
          </a:extLst>
        </xdr:cNvPr>
        <xdr:cNvSpPr/>
      </xdr:nvSpPr>
      <xdr:spPr bwMode="auto">
        <a:xfrm>
          <a:off x="9753600" y="357714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169</xdr:row>
      <xdr:rowOff>119381</xdr:rowOff>
    </xdr:from>
    <xdr:to>
      <xdr:col>14</xdr:col>
      <xdr:colOff>63500</xdr:colOff>
      <xdr:row>170</xdr:row>
      <xdr:rowOff>1</xdr:rowOff>
    </xdr:to>
    <xdr:sp macro="" textlink="">
      <xdr:nvSpPr>
        <xdr:cNvPr id="1357" name="nuNumber: 910" hidden="1">
          <a:extLst>
            <a:ext uri="{FF2B5EF4-FFF2-40B4-BE49-F238E27FC236}">
              <a16:creationId xmlns:a16="http://schemas.microsoft.com/office/drawing/2014/main" id="{2AADB77C-1621-459D-B2FE-A9A280ED0A0E}"/>
            </a:ext>
          </a:extLst>
        </xdr:cNvPr>
        <xdr:cNvSpPr/>
      </xdr:nvSpPr>
      <xdr:spPr bwMode="auto">
        <a:xfrm>
          <a:off x="10515600" y="357714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169</xdr:row>
      <xdr:rowOff>119381</xdr:rowOff>
    </xdr:from>
    <xdr:to>
      <xdr:col>15</xdr:col>
      <xdr:colOff>63500</xdr:colOff>
      <xdr:row>170</xdr:row>
      <xdr:rowOff>1</xdr:rowOff>
    </xdr:to>
    <xdr:sp macro="" textlink="">
      <xdr:nvSpPr>
        <xdr:cNvPr id="1358" name="nuNumber: 911" hidden="1">
          <a:extLst>
            <a:ext uri="{FF2B5EF4-FFF2-40B4-BE49-F238E27FC236}">
              <a16:creationId xmlns:a16="http://schemas.microsoft.com/office/drawing/2014/main" id="{05BE0707-11A8-468F-A7AC-4D94B3263216}"/>
            </a:ext>
          </a:extLst>
        </xdr:cNvPr>
        <xdr:cNvSpPr/>
      </xdr:nvSpPr>
      <xdr:spPr bwMode="auto">
        <a:xfrm>
          <a:off x="11325225" y="357714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169</xdr:row>
      <xdr:rowOff>119381</xdr:rowOff>
    </xdr:from>
    <xdr:to>
      <xdr:col>16</xdr:col>
      <xdr:colOff>63500</xdr:colOff>
      <xdr:row>170</xdr:row>
      <xdr:rowOff>1</xdr:rowOff>
    </xdr:to>
    <xdr:sp macro="" textlink="">
      <xdr:nvSpPr>
        <xdr:cNvPr id="1359" name="nuNumber: 912" hidden="1">
          <a:extLst>
            <a:ext uri="{FF2B5EF4-FFF2-40B4-BE49-F238E27FC236}">
              <a16:creationId xmlns:a16="http://schemas.microsoft.com/office/drawing/2014/main" id="{373583BB-7D6B-4CC0-98DE-AA01276725C8}"/>
            </a:ext>
          </a:extLst>
        </xdr:cNvPr>
        <xdr:cNvSpPr/>
      </xdr:nvSpPr>
      <xdr:spPr bwMode="auto">
        <a:xfrm>
          <a:off x="12106275" y="357714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169</xdr:row>
      <xdr:rowOff>119381</xdr:rowOff>
    </xdr:from>
    <xdr:to>
      <xdr:col>17</xdr:col>
      <xdr:colOff>63500</xdr:colOff>
      <xdr:row>170</xdr:row>
      <xdr:rowOff>1</xdr:rowOff>
    </xdr:to>
    <xdr:sp macro="" textlink="">
      <xdr:nvSpPr>
        <xdr:cNvPr id="1360" name="nuNumber: 913" hidden="1">
          <a:extLst>
            <a:ext uri="{FF2B5EF4-FFF2-40B4-BE49-F238E27FC236}">
              <a16:creationId xmlns:a16="http://schemas.microsoft.com/office/drawing/2014/main" id="{283A2265-E26A-41FF-9D53-C1F627BE8B64}"/>
            </a:ext>
          </a:extLst>
        </xdr:cNvPr>
        <xdr:cNvSpPr/>
      </xdr:nvSpPr>
      <xdr:spPr bwMode="auto">
        <a:xfrm>
          <a:off x="12887325" y="357714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169</xdr:row>
      <xdr:rowOff>119381</xdr:rowOff>
    </xdr:from>
    <xdr:to>
      <xdr:col>18</xdr:col>
      <xdr:colOff>63499</xdr:colOff>
      <xdr:row>170</xdr:row>
      <xdr:rowOff>1</xdr:rowOff>
    </xdr:to>
    <xdr:sp macro="" textlink="">
      <xdr:nvSpPr>
        <xdr:cNvPr id="1361" name="nuNumber: 914" hidden="1">
          <a:extLst>
            <a:ext uri="{FF2B5EF4-FFF2-40B4-BE49-F238E27FC236}">
              <a16:creationId xmlns:a16="http://schemas.microsoft.com/office/drawing/2014/main" id="{3C55079D-3FF7-47DC-BF2B-354C2750C86B}"/>
            </a:ext>
          </a:extLst>
        </xdr:cNvPr>
        <xdr:cNvSpPr/>
      </xdr:nvSpPr>
      <xdr:spPr bwMode="auto">
        <a:xfrm>
          <a:off x="13624559" y="35771456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169</xdr:row>
      <xdr:rowOff>119381</xdr:rowOff>
    </xdr:from>
    <xdr:to>
      <xdr:col>19</xdr:col>
      <xdr:colOff>63500</xdr:colOff>
      <xdr:row>170</xdr:row>
      <xdr:rowOff>1</xdr:rowOff>
    </xdr:to>
    <xdr:sp macro="" textlink="">
      <xdr:nvSpPr>
        <xdr:cNvPr id="1362" name="nuNumber: 915" hidden="1">
          <a:extLst>
            <a:ext uri="{FF2B5EF4-FFF2-40B4-BE49-F238E27FC236}">
              <a16:creationId xmlns:a16="http://schemas.microsoft.com/office/drawing/2014/main" id="{BA438BF0-3449-4FF9-8E35-FF4E63359D4B}"/>
            </a:ext>
          </a:extLst>
        </xdr:cNvPr>
        <xdr:cNvSpPr/>
      </xdr:nvSpPr>
      <xdr:spPr bwMode="auto">
        <a:xfrm>
          <a:off x="14382750" y="357714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169</xdr:row>
      <xdr:rowOff>119381</xdr:rowOff>
    </xdr:from>
    <xdr:to>
      <xdr:col>20</xdr:col>
      <xdr:colOff>63500</xdr:colOff>
      <xdr:row>170</xdr:row>
      <xdr:rowOff>1</xdr:rowOff>
    </xdr:to>
    <xdr:sp macro="" textlink="">
      <xdr:nvSpPr>
        <xdr:cNvPr id="1363" name="nuNumber: 916" hidden="1">
          <a:extLst>
            <a:ext uri="{FF2B5EF4-FFF2-40B4-BE49-F238E27FC236}">
              <a16:creationId xmlns:a16="http://schemas.microsoft.com/office/drawing/2014/main" id="{FA40B033-9652-4642-B590-C19048C24171}"/>
            </a:ext>
          </a:extLst>
        </xdr:cNvPr>
        <xdr:cNvSpPr/>
      </xdr:nvSpPr>
      <xdr:spPr bwMode="auto">
        <a:xfrm>
          <a:off x="15135225" y="357714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169</xdr:row>
      <xdr:rowOff>119381</xdr:rowOff>
    </xdr:from>
    <xdr:to>
      <xdr:col>21</xdr:col>
      <xdr:colOff>63500</xdr:colOff>
      <xdr:row>170</xdr:row>
      <xdr:rowOff>1</xdr:rowOff>
    </xdr:to>
    <xdr:sp macro="" textlink="">
      <xdr:nvSpPr>
        <xdr:cNvPr id="1364" name="nuNumber: 917" hidden="1">
          <a:extLst>
            <a:ext uri="{FF2B5EF4-FFF2-40B4-BE49-F238E27FC236}">
              <a16:creationId xmlns:a16="http://schemas.microsoft.com/office/drawing/2014/main" id="{18C7B849-2D2E-4D98-9E44-D7BD5F15F187}"/>
            </a:ext>
          </a:extLst>
        </xdr:cNvPr>
        <xdr:cNvSpPr/>
      </xdr:nvSpPr>
      <xdr:spPr bwMode="auto">
        <a:xfrm>
          <a:off x="15849600" y="357714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265</xdr:row>
      <xdr:rowOff>119379</xdr:rowOff>
    </xdr:from>
    <xdr:to>
      <xdr:col>8</xdr:col>
      <xdr:colOff>63500</xdr:colOff>
      <xdr:row>265</xdr:row>
      <xdr:rowOff>182879</xdr:rowOff>
    </xdr:to>
    <xdr:sp macro="" textlink="">
      <xdr:nvSpPr>
        <xdr:cNvPr id="1365" name="nuNumber: 1027" hidden="1">
          <a:extLst>
            <a:ext uri="{FF2B5EF4-FFF2-40B4-BE49-F238E27FC236}">
              <a16:creationId xmlns:a16="http://schemas.microsoft.com/office/drawing/2014/main" id="{C3F386C3-57E2-4A2F-95ED-C8F8E68C6496}"/>
            </a:ext>
          </a:extLst>
        </xdr:cNvPr>
        <xdr:cNvSpPr/>
      </xdr:nvSpPr>
      <xdr:spPr bwMode="auto">
        <a:xfrm>
          <a:off x="5562600" y="569264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265</xdr:row>
      <xdr:rowOff>119379</xdr:rowOff>
    </xdr:from>
    <xdr:to>
      <xdr:col>21</xdr:col>
      <xdr:colOff>63500</xdr:colOff>
      <xdr:row>265</xdr:row>
      <xdr:rowOff>182879</xdr:rowOff>
    </xdr:to>
    <xdr:sp macro="" textlink="">
      <xdr:nvSpPr>
        <xdr:cNvPr id="1366" name="nuNumber: 1041" hidden="1">
          <a:extLst>
            <a:ext uri="{FF2B5EF4-FFF2-40B4-BE49-F238E27FC236}">
              <a16:creationId xmlns:a16="http://schemas.microsoft.com/office/drawing/2014/main" id="{174FFDE6-5FF8-433A-8542-1B66D2BADC45}"/>
            </a:ext>
          </a:extLst>
        </xdr:cNvPr>
        <xdr:cNvSpPr/>
      </xdr:nvSpPr>
      <xdr:spPr bwMode="auto">
        <a:xfrm>
          <a:off x="15849600" y="569264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528</xdr:row>
      <xdr:rowOff>119382</xdr:rowOff>
    </xdr:from>
    <xdr:to>
      <xdr:col>20</xdr:col>
      <xdr:colOff>63500</xdr:colOff>
      <xdr:row>529</xdr:row>
      <xdr:rowOff>2</xdr:rowOff>
    </xdr:to>
    <xdr:sp macro="" textlink="">
      <xdr:nvSpPr>
        <xdr:cNvPr id="1367" name="nuNumber: 1268" hidden="1">
          <a:extLst>
            <a:ext uri="{FF2B5EF4-FFF2-40B4-BE49-F238E27FC236}">
              <a16:creationId xmlns:a16="http://schemas.microsoft.com/office/drawing/2014/main" id="{62D7717C-E4EB-4A88-9230-624D994B734C}"/>
            </a:ext>
          </a:extLst>
        </xdr:cNvPr>
        <xdr:cNvSpPr/>
      </xdr:nvSpPr>
      <xdr:spPr bwMode="auto">
        <a:xfrm>
          <a:off x="15135225" y="1128382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528</xdr:row>
      <xdr:rowOff>119382</xdr:rowOff>
    </xdr:from>
    <xdr:to>
      <xdr:col>21</xdr:col>
      <xdr:colOff>63500</xdr:colOff>
      <xdr:row>529</xdr:row>
      <xdr:rowOff>2</xdr:rowOff>
    </xdr:to>
    <xdr:sp macro="" textlink="">
      <xdr:nvSpPr>
        <xdr:cNvPr id="1368" name="nuNumber: 1269" hidden="1">
          <a:extLst>
            <a:ext uri="{FF2B5EF4-FFF2-40B4-BE49-F238E27FC236}">
              <a16:creationId xmlns:a16="http://schemas.microsoft.com/office/drawing/2014/main" id="{AC876A1A-5AB9-48F2-ABBF-BBB413826691}"/>
            </a:ext>
          </a:extLst>
        </xdr:cNvPr>
        <xdr:cNvSpPr/>
      </xdr:nvSpPr>
      <xdr:spPr bwMode="auto">
        <a:xfrm>
          <a:off x="15849600" y="1128382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226060</xdr:rowOff>
    </xdr:from>
    <xdr:to>
      <xdr:col>0</xdr:col>
      <xdr:colOff>63500</xdr:colOff>
      <xdr:row>1</xdr:row>
      <xdr:rowOff>0</xdr:rowOff>
    </xdr:to>
    <xdr:sp macro="" textlink="">
      <xdr:nvSpPr>
        <xdr:cNvPr id="2" name="nuNumber: 1" hidden="1">
          <a:extLst>
            <a:ext uri="{FF2B5EF4-FFF2-40B4-BE49-F238E27FC236}">
              <a16:creationId xmlns:a16="http://schemas.microsoft.com/office/drawing/2014/main" id="{AB244CD7-3761-4906-8867-BE75EB87D619}"/>
            </a:ext>
          </a:extLst>
        </xdr:cNvPr>
        <xdr:cNvSpPr/>
      </xdr:nvSpPr>
      <xdr:spPr bwMode="auto">
        <a:xfrm>
          <a:off x="0" y="226060"/>
          <a:ext cx="0" cy="6921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0</xdr:colOff>
      <xdr:row>1</xdr:row>
      <xdr:rowOff>134620</xdr:rowOff>
    </xdr:from>
    <xdr:to>
      <xdr:col>0</xdr:col>
      <xdr:colOff>63500</xdr:colOff>
      <xdr:row>2</xdr:row>
      <xdr:rowOff>0</xdr:rowOff>
    </xdr:to>
    <xdr:sp macro="" textlink="">
      <xdr:nvSpPr>
        <xdr:cNvPr id="3" name="nuNumber: 2" hidden="1">
          <a:extLst>
            <a:ext uri="{FF2B5EF4-FFF2-40B4-BE49-F238E27FC236}">
              <a16:creationId xmlns:a16="http://schemas.microsoft.com/office/drawing/2014/main" id="{1CFE5011-1B8D-4E06-9AAC-D4E1429D82AF}"/>
            </a:ext>
          </a:extLst>
        </xdr:cNvPr>
        <xdr:cNvSpPr/>
      </xdr:nvSpPr>
      <xdr:spPr bwMode="auto">
        <a:xfrm>
          <a:off x="0" y="429895"/>
          <a:ext cx="0" cy="6540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0</xdr:colOff>
      <xdr:row>2</xdr:row>
      <xdr:rowOff>111760</xdr:rowOff>
    </xdr:from>
    <xdr:to>
      <xdr:col>0</xdr:col>
      <xdr:colOff>63500</xdr:colOff>
      <xdr:row>3</xdr:row>
      <xdr:rowOff>0</xdr:rowOff>
    </xdr:to>
    <xdr:sp macro="" textlink="">
      <xdr:nvSpPr>
        <xdr:cNvPr id="4" name="nuNumber: 3" hidden="1">
          <a:extLst>
            <a:ext uri="{FF2B5EF4-FFF2-40B4-BE49-F238E27FC236}">
              <a16:creationId xmlns:a16="http://schemas.microsoft.com/office/drawing/2014/main" id="{E8A4713B-FF04-43A2-A019-3DDD2D6E30CF}"/>
            </a:ext>
          </a:extLst>
        </xdr:cNvPr>
        <xdr:cNvSpPr/>
      </xdr:nvSpPr>
      <xdr:spPr bwMode="auto">
        <a:xfrm>
          <a:off x="0" y="607060"/>
          <a:ext cx="0" cy="9779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14</xdr:row>
      <xdr:rowOff>119380</xdr:rowOff>
    </xdr:from>
    <xdr:to>
      <xdr:col>8</xdr:col>
      <xdr:colOff>63500</xdr:colOff>
      <xdr:row>15</xdr:row>
      <xdr:rowOff>0</xdr:rowOff>
    </xdr:to>
    <xdr:sp macro="" textlink="">
      <xdr:nvSpPr>
        <xdr:cNvPr id="5" name="nuNumber: 4" hidden="1">
          <a:extLst>
            <a:ext uri="{FF2B5EF4-FFF2-40B4-BE49-F238E27FC236}">
              <a16:creationId xmlns:a16="http://schemas.microsoft.com/office/drawing/2014/main" id="{1AC210D3-7044-4742-A94B-758C722C6292}"/>
            </a:ext>
          </a:extLst>
        </xdr:cNvPr>
        <xdr:cNvSpPr/>
      </xdr:nvSpPr>
      <xdr:spPr bwMode="auto">
        <a:xfrm>
          <a:off x="5562600" y="3148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14</xdr:row>
      <xdr:rowOff>119380</xdr:rowOff>
    </xdr:from>
    <xdr:to>
      <xdr:col>9</xdr:col>
      <xdr:colOff>63500</xdr:colOff>
      <xdr:row>15</xdr:row>
      <xdr:rowOff>0</xdr:rowOff>
    </xdr:to>
    <xdr:sp macro="" textlink="">
      <xdr:nvSpPr>
        <xdr:cNvPr id="6" name="nuNumber: 5" hidden="1">
          <a:extLst>
            <a:ext uri="{FF2B5EF4-FFF2-40B4-BE49-F238E27FC236}">
              <a16:creationId xmlns:a16="http://schemas.microsoft.com/office/drawing/2014/main" id="{7367F2C4-40FF-457D-8DB3-2D498CACD913}"/>
            </a:ext>
          </a:extLst>
        </xdr:cNvPr>
        <xdr:cNvSpPr/>
      </xdr:nvSpPr>
      <xdr:spPr bwMode="auto">
        <a:xfrm>
          <a:off x="6467475" y="3148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14</xdr:row>
      <xdr:rowOff>119380</xdr:rowOff>
    </xdr:from>
    <xdr:to>
      <xdr:col>9</xdr:col>
      <xdr:colOff>63500</xdr:colOff>
      <xdr:row>15</xdr:row>
      <xdr:rowOff>0</xdr:rowOff>
    </xdr:to>
    <xdr:sp macro="" textlink="">
      <xdr:nvSpPr>
        <xdr:cNvPr id="7" name="nuNumber: 6" hidden="1">
          <a:extLst>
            <a:ext uri="{FF2B5EF4-FFF2-40B4-BE49-F238E27FC236}">
              <a16:creationId xmlns:a16="http://schemas.microsoft.com/office/drawing/2014/main" id="{088D694F-F24D-43A5-A8D2-918A9E94A76A}"/>
            </a:ext>
          </a:extLst>
        </xdr:cNvPr>
        <xdr:cNvSpPr/>
      </xdr:nvSpPr>
      <xdr:spPr bwMode="auto">
        <a:xfrm>
          <a:off x="6467475" y="3148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14</xdr:row>
      <xdr:rowOff>119380</xdr:rowOff>
    </xdr:from>
    <xdr:to>
      <xdr:col>10</xdr:col>
      <xdr:colOff>63500</xdr:colOff>
      <xdr:row>15</xdr:row>
      <xdr:rowOff>0</xdr:rowOff>
    </xdr:to>
    <xdr:sp macro="" textlink="">
      <xdr:nvSpPr>
        <xdr:cNvPr id="8" name="nuNumber: 7" hidden="1">
          <a:extLst>
            <a:ext uri="{FF2B5EF4-FFF2-40B4-BE49-F238E27FC236}">
              <a16:creationId xmlns:a16="http://schemas.microsoft.com/office/drawing/2014/main" id="{73AA7475-14A0-4E0F-AD6D-8B9BC35CFE42}"/>
            </a:ext>
          </a:extLst>
        </xdr:cNvPr>
        <xdr:cNvSpPr/>
      </xdr:nvSpPr>
      <xdr:spPr bwMode="auto">
        <a:xfrm>
          <a:off x="7315200" y="3148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14</xdr:row>
      <xdr:rowOff>119380</xdr:rowOff>
    </xdr:from>
    <xdr:to>
      <xdr:col>11</xdr:col>
      <xdr:colOff>63500</xdr:colOff>
      <xdr:row>15</xdr:row>
      <xdr:rowOff>0</xdr:rowOff>
    </xdr:to>
    <xdr:sp macro="" textlink="">
      <xdr:nvSpPr>
        <xdr:cNvPr id="9" name="nuNumber: 8" hidden="1">
          <a:extLst>
            <a:ext uri="{FF2B5EF4-FFF2-40B4-BE49-F238E27FC236}">
              <a16:creationId xmlns:a16="http://schemas.microsoft.com/office/drawing/2014/main" id="{141F02A6-03E3-4466-BA1F-BC1CD34A8FF2}"/>
            </a:ext>
          </a:extLst>
        </xdr:cNvPr>
        <xdr:cNvSpPr/>
      </xdr:nvSpPr>
      <xdr:spPr bwMode="auto">
        <a:xfrm>
          <a:off x="8105775" y="3148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14</xdr:row>
      <xdr:rowOff>119380</xdr:rowOff>
    </xdr:from>
    <xdr:to>
      <xdr:col>12</xdr:col>
      <xdr:colOff>63500</xdr:colOff>
      <xdr:row>15</xdr:row>
      <xdr:rowOff>0</xdr:rowOff>
    </xdr:to>
    <xdr:sp macro="" textlink="">
      <xdr:nvSpPr>
        <xdr:cNvPr id="10" name="nuNumber: 9" hidden="1">
          <a:extLst>
            <a:ext uri="{FF2B5EF4-FFF2-40B4-BE49-F238E27FC236}">
              <a16:creationId xmlns:a16="http://schemas.microsoft.com/office/drawing/2014/main" id="{51C5AB62-76E1-4EEE-ADC3-D25D90B7C47C}"/>
            </a:ext>
          </a:extLst>
        </xdr:cNvPr>
        <xdr:cNvSpPr/>
      </xdr:nvSpPr>
      <xdr:spPr bwMode="auto">
        <a:xfrm>
          <a:off x="8972550" y="3148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14</xdr:row>
      <xdr:rowOff>119380</xdr:rowOff>
    </xdr:from>
    <xdr:to>
      <xdr:col>13</xdr:col>
      <xdr:colOff>63500</xdr:colOff>
      <xdr:row>15</xdr:row>
      <xdr:rowOff>0</xdr:rowOff>
    </xdr:to>
    <xdr:sp macro="" textlink="">
      <xdr:nvSpPr>
        <xdr:cNvPr id="11" name="nuNumber: 10" hidden="1">
          <a:extLst>
            <a:ext uri="{FF2B5EF4-FFF2-40B4-BE49-F238E27FC236}">
              <a16:creationId xmlns:a16="http://schemas.microsoft.com/office/drawing/2014/main" id="{C48F553E-299A-4254-8C4A-93482203C034}"/>
            </a:ext>
          </a:extLst>
        </xdr:cNvPr>
        <xdr:cNvSpPr/>
      </xdr:nvSpPr>
      <xdr:spPr bwMode="auto">
        <a:xfrm>
          <a:off x="9753600" y="3148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14</xdr:row>
      <xdr:rowOff>119380</xdr:rowOff>
    </xdr:from>
    <xdr:to>
      <xdr:col>14</xdr:col>
      <xdr:colOff>63500</xdr:colOff>
      <xdr:row>15</xdr:row>
      <xdr:rowOff>0</xdr:rowOff>
    </xdr:to>
    <xdr:sp macro="" textlink="">
      <xdr:nvSpPr>
        <xdr:cNvPr id="12" name="nuNumber: 11" hidden="1">
          <a:extLst>
            <a:ext uri="{FF2B5EF4-FFF2-40B4-BE49-F238E27FC236}">
              <a16:creationId xmlns:a16="http://schemas.microsoft.com/office/drawing/2014/main" id="{56EEF710-2508-4ED9-BE30-C0F03974A1EA}"/>
            </a:ext>
          </a:extLst>
        </xdr:cNvPr>
        <xdr:cNvSpPr/>
      </xdr:nvSpPr>
      <xdr:spPr bwMode="auto">
        <a:xfrm>
          <a:off x="10515600" y="3148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14</xdr:row>
      <xdr:rowOff>119380</xdr:rowOff>
    </xdr:from>
    <xdr:to>
      <xdr:col>15</xdr:col>
      <xdr:colOff>63500</xdr:colOff>
      <xdr:row>15</xdr:row>
      <xdr:rowOff>0</xdr:rowOff>
    </xdr:to>
    <xdr:sp macro="" textlink="">
      <xdr:nvSpPr>
        <xdr:cNvPr id="13" name="nuNumber: 12" hidden="1">
          <a:extLst>
            <a:ext uri="{FF2B5EF4-FFF2-40B4-BE49-F238E27FC236}">
              <a16:creationId xmlns:a16="http://schemas.microsoft.com/office/drawing/2014/main" id="{C7C11EFE-4B65-489E-97FC-BFD84B799FC7}"/>
            </a:ext>
          </a:extLst>
        </xdr:cNvPr>
        <xdr:cNvSpPr/>
      </xdr:nvSpPr>
      <xdr:spPr bwMode="auto">
        <a:xfrm>
          <a:off x="11325225" y="3148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14</xdr:row>
      <xdr:rowOff>119380</xdr:rowOff>
    </xdr:from>
    <xdr:to>
      <xdr:col>16</xdr:col>
      <xdr:colOff>63500</xdr:colOff>
      <xdr:row>15</xdr:row>
      <xdr:rowOff>0</xdr:rowOff>
    </xdr:to>
    <xdr:sp macro="" textlink="">
      <xdr:nvSpPr>
        <xdr:cNvPr id="14" name="nuNumber: 13" hidden="1">
          <a:extLst>
            <a:ext uri="{FF2B5EF4-FFF2-40B4-BE49-F238E27FC236}">
              <a16:creationId xmlns:a16="http://schemas.microsoft.com/office/drawing/2014/main" id="{40986A6A-3314-4F42-9170-6DA158833D4F}"/>
            </a:ext>
          </a:extLst>
        </xdr:cNvPr>
        <xdr:cNvSpPr/>
      </xdr:nvSpPr>
      <xdr:spPr bwMode="auto">
        <a:xfrm>
          <a:off x="12106275" y="3148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14</xdr:row>
      <xdr:rowOff>119380</xdr:rowOff>
    </xdr:from>
    <xdr:to>
      <xdr:col>17</xdr:col>
      <xdr:colOff>63500</xdr:colOff>
      <xdr:row>15</xdr:row>
      <xdr:rowOff>0</xdr:rowOff>
    </xdr:to>
    <xdr:sp macro="" textlink="">
      <xdr:nvSpPr>
        <xdr:cNvPr id="15" name="nuNumber: 14" hidden="1">
          <a:extLst>
            <a:ext uri="{FF2B5EF4-FFF2-40B4-BE49-F238E27FC236}">
              <a16:creationId xmlns:a16="http://schemas.microsoft.com/office/drawing/2014/main" id="{507AFC90-6F4A-4A9D-BDD2-3ACF974B2F2C}"/>
            </a:ext>
          </a:extLst>
        </xdr:cNvPr>
        <xdr:cNvSpPr/>
      </xdr:nvSpPr>
      <xdr:spPr bwMode="auto">
        <a:xfrm>
          <a:off x="12887325" y="3148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14</xdr:row>
      <xdr:rowOff>119380</xdr:rowOff>
    </xdr:from>
    <xdr:to>
      <xdr:col>18</xdr:col>
      <xdr:colOff>63499</xdr:colOff>
      <xdr:row>15</xdr:row>
      <xdr:rowOff>0</xdr:rowOff>
    </xdr:to>
    <xdr:sp macro="" textlink="">
      <xdr:nvSpPr>
        <xdr:cNvPr id="16" name="nuNumber: 15" hidden="1">
          <a:extLst>
            <a:ext uri="{FF2B5EF4-FFF2-40B4-BE49-F238E27FC236}">
              <a16:creationId xmlns:a16="http://schemas.microsoft.com/office/drawing/2014/main" id="{AFB06E31-1CE7-42FB-9043-DC2C09D7C36B}"/>
            </a:ext>
          </a:extLst>
        </xdr:cNvPr>
        <xdr:cNvSpPr/>
      </xdr:nvSpPr>
      <xdr:spPr bwMode="auto">
        <a:xfrm>
          <a:off x="13624559" y="314833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14</xdr:row>
      <xdr:rowOff>119380</xdr:rowOff>
    </xdr:from>
    <xdr:to>
      <xdr:col>19</xdr:col>
      <xdr:colOff>63500</xdr:colOff>
      <xdr:row>15</xdr:row>
      <xdr:rowOff>0</xdr:rowOff>
    </xdr:to>
    <xdr:sp macro="" textlink="">
      <xdr:nvSpPr>
        <xdr:cNvPr id="17" name="nuNumber: 16" hidden="1">
          <a:extLst>
            <a:ext uri="{FF2B5EF4-FFF2-40B4-BE49-F238E27FC236}">
              <a16:creationId xmlns:a16="http://schemas.microsoft.com/office/drawing/2014/main" id="{5B9BC356-DD3B-48CA-9DFF-EAE09BADB934}"/>
            </a:ext>
          </a:extLst>
        </xdr:cNvPr>
        <xdr:cNvSpPr/>
      </xdr:nvSpPr>
      <xdr:spPr bwMode="auto">
        <a:xfrm>
          <a:off x="14382750" y="3148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14</xdr:row>
      <xdr:rowOff>119380</xdr:rowOff>
    </xdr:from>
    <xdr:to>
      <xdr:col>20</xdr:col>
      <xdr:colOff>63500</xdr:colOff>
      <xdr:row>15</xdr:row>
      <xdr:rowOff>0</xdr:rowOff>
    </xdr:to>
    <xdr:sp macro="" textlink="">
      <xdr:nvSpPr>
        <xdr:cNvPr id="18" name="nuNumber: 17" hidden="1">
          <a:extLst>
            <a:ext uri="{FF2B5EF4-FFF2-40B4-BE49-F238E27FC236}">
              <a16:creationId xmlns:a16="http://schemas.microsoft.com/office/drawing/2014/main" id="{703114D0-9465-4EE5-867D-F3BEA184497A}"/>
            </a:ext>
          </a:extLst>
        </xdr:cNvPr>
        <xdr:cNvSpPr/>
      </xdr:nvSpPr>
      <xdr:spPr bwMode="auto">
        <a:xfrm>
          <a:off x="15135225" y="3148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14</xdr:row>
      <xdr:rowOff>119380</xdr:rowOff>
    </xdr:from>
    <xdr:to>
      <xdr:col>21</xdr:col>
      <xdr:colOff>63500</xdr:colOff>
      <xdr:row>15</xdr:row>
      <xdr:rowOff>0</xdr:rowOff>
    </xdr:to>
    <xdr:sp macro="" textlink="">
      <xdr:nvSpPr>
        <xdr:cNvPr id="19" name="nuNumber: 18" hidden="1">
          <a:extLst>
            <a:ext uri="{FF2B5EF4-FFF2-40B4-BE49-F238E27FC236}">
              <a16:creationId xmlns:a16="http://schemas.microsoft.com/office/drawing/2014/main" id="{8AC3B6A1-B7C8-4443-9C4A-C0A7FBD74D23}"/>
            </a:ext>
          </a:extLst>
        </xdr:cNvPr>
        <xdr:cNvSpPr/>
      </xdr:nvSpPr>
      <xdr:spPr bwMode="auto">
        <a:xfrm>
          <a:off x="15849600" y="3148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15</xdr:row>
      <xdr:rowOff>119380</xdr:rowOff>
    </xdr:from>
    <xdr:to>
      <xdr:col>8</xdr:col>
      <xdr:colOff>63500</xdr:colOff>
      <xdr:row>16</xdr:row>
      <xdr:rowOff>0</xdr:rowOff>
    </xdr:to>
    <xdr:sp macro="" textlink="">
      <xdr:nvSpPr>
        <xdr:cNvPr id="20" name="nuNumber: 19" hidden="1">
          <a:extLst>
            <a:ext uri="{FF2B5EF4-FFF2-40B4-BE49-F238E27FC236}">
              <a16:creationId xmlns:a16="http://schemas.microsoft.com/office/drawing/2014/main" id="{ABA024D4-DF49-4ABF-A6A0-E06A3F098A8E}"/>
            </a:ext>
          </a:extLst>
        </xdr:cNvPr>
        <xdr:cNvSpPr/>
      </xdr:nvSpPr>
      <xdr:spPr bwMode="auto">
        <a:xfrm>
          <a:off x="5562600" y="3357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15</xdr:row>
      <xdr:rowOff>119380</xdr:rowOff>
    </xdr:from>
    <xdr:to>
      <xdr:col>9</xdr:col>
      <xdr:colOff>63500</xdr:colOff>
      <xdr:row>16</xdr:row>
      <xdr:rowOff>0</xdr:rowOff>
    </xdr:to>
    <xdr:sp macro="" textlink="">
      <xdr:nvSpPr>
        <xdr:cNvPr id="21" name="nuNumber: 20" hidden="1">
          <a:extLst>
            <a:ext uri="{FF2B5EF4-FFF2-40B4-BE49-F238E27FC236}">
              <a16:creationId xmlns:a16="http://schemas.microsoft.com/office/drawing/2014/main" id="{0C2B483C-5FC3-4C97-95AE-786B54B010E6}"/>
            </a:ext>
          </a:extLst>
        </xdr:cNvPr>
        <xdr:cNvSpPr/>
      </xdr:nvSpPr>
      <xdr:spPr bwMode="auto">
        <a:xfrm>
          <a:off x="6467475" y="3357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15</xdr:row>
      <xdr:rowOff>119380</xdr:rowOff>
    </xdr:from>
    <xdr:to>
      <xdr:col>9</xdr:col>
      <xdr:colOff>63500</xdr:colOff>
      <xdr:row>16</xdr:row>
      <xdr:rowOff>0</xdr:rowOff>
    </xdr:to>
    <xdr:sp macro="" textlink="">
      <xdr:nvSpPr>
        <xdr:cNvPr id="22" name="nuNumber: 21" hidden="1">
          <a:extLst>
            <a:ext uri="{FF2B5EF4-FFF2-40B4-BE49-F238E27FC236}">
              <a16:creationId xmlns:a16="http://schemas.microsoft.com/office/drawing/2014/main" id="{95A6AA53-48AE-43B6-95A9-889A2323FF79}"/>
            </a:ext>
          </a:extLst>
        </xdr:cNvPr>
        <xdr:cNvSpPr/>
      </xdr:nvSpPr>
      <xdr:spPr bwMode="auto">
        <a:xfrm>
          <a:off x="6467475" y="3357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15</xdr:row>
      <xdr:rowOff>119380</xdr:rowOff>
    </xdr:from>
    <xdr:to>
      <xdr:col>10</xdr:col>
      <xdr:colOff>63500</xdr:colOff>
      <xdr:row>16</xdr:row>
      <xdr:rowOff>0</xdr:rowOff>
    </xdr:to>
    <xdr:sp macro="" textlink="">
      <xdr:nvSpPr>
        <xdr:cNvPr id="23" name="nuNumber: 22" hidden="1">
          <a:extLst>
            <a:ext uri="{FF2B5EF4-FFF2-40B4-BE49-F238E27FC236}">
              <a16:creationId xmlns:a16="http://schemas.microsoft.com/office/drawing/2014/main" id="{4F68C756-5671-458E-938B-D8F89F39BB62}"/>
            </a:ext>
          </a:extLst>
        </xdr:cNvPr>
        <xdr:cNvSpPr/>
      </xdr:nvSpPr>
      <xdr:spPr bwMode="auto">
        <a:xfrm>
          <a:off x="7315200" y="3357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15</xdr:row>
      <xdr:rowOff>119380</xdr:rowOff>
    </xdr:from>
    <xdr:to>
      <xdr:col>11</xdr:col>
      <xdr:colOff>63500</xdr:colOff>
      <xdr:row>16</xdr:row>
      <xdr:rowOff>0</xdr:rowOff>
    </xdr:to>
    <xdr:sp macro="" textlink="">
      <xdr:nvSpPr>
        <xdr:cNvPr id="24" name="nuNumber: 23" hidden="1">
          <a:extLst>
            <a:ext uri="{FF2B5EF4-FFF2-40B4-BE49-F238E27FC236}">
              <a16:creationId xmlns:a16="http://schemas.microsoft.com/office/drawing/2014/main" id="{FA94272E-95E3-4306-BFDD-DB1E1E111C31}"/>
            </a:ext>
          </a:extLst>
        </xdr:cNvPr>
        <xdr:cNvSpPr/>
      </xdr:nvSpPr>
      <xdr:spPr bwMode="auto">
        <a:xfrm>
          <a:off x="8105775" y="3357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15</xdr:row>
      <xdr:rowOff>119380</xdr:rowOff>
    </xdr:from>
    <xdr:to>
      <xdr:col>12</xdr:col>
      <xdr:colOff>63500</xdr:colOff>
      <xdr:row>16</xdr:row>
      <xdr:rowOff>0</xdr:rowOff>
    </xdr:to>
    <xdr:sp macro="" textlink="">
      <xdr:nvSpPr>
        <xdr:cNvPr id="25" name="nuNumber: 24" hidden="1">
          <a:extLst>
            <a:ext uri="{FF2B5EF4-FFF2-40B4-BE49-F238E27FC236}">
              <a16:creationId xmlns:a16="http://schemas.microsoft.com/office/drawing/2014/main" id="{C67A46D6-4808-4C14-8162-7BFE61517358}"/>
            </a:ext>
          </a:extLst>
        </xdr:cNvPr>
        <xdr:cNvSpPr/>
      </xdr:nvSpPr>
      <xdr:spPr bwMode="auto">
        <a:xfrm>
          <a:off x="8972550" y="3357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15</xdr:row>
      <xdr:rowOff>119380</xdr:rowOff>
    </xdr:from>
    <xdr:to>
      <xdr:col>13</xdr:col>
      <xdr:colOff>63500</xdr:colOff>
      <xdr:row>16</xdr:row>
      <xdr:rowOff>0</xdr:rowOff>
    </xdr:to>
    <xdr:sp macro="" textlink="">
      <xdr:nvSpPr>
        <xdr:cNvPr id="26" name="nuNumber: 25" hidden="1">
          <a:extLst>
            <a:ext uri="{FF2B5EF4-FFF2-40B4-BE49-F238E27FC236}">
              <a16:creationId xmlns:a16="http://schemas.microsoft.com/office/drawing/2014/main" id="{DE757F7D-C91F-4799-9D14-6CFF051BFDA9}"/>
            </a:ext>
          </a:extLst>
        </xdr:cNvPr>
        <xdr:cNvSpPr/>
      </xdr:nvSpPr>
      <xdr:spPr bwMode="auto">
        <a:xfrm>
          <a:off x="9753600" y="3357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15</xdr:row>
      <xdr:rowOff>119380</xdr:rowOff>
    </xdr:from>
    <xdr:to>
      <xdr:col>14</xdr:col>
      <xdr:colOff>63500</xdr:colOff>
      <xdr:row>16</xdr:row>
      <xdr:rowOff>0</xdr:rowOff>
    </xdr:to>
    <xdr:sp macro="" textlink="">
      <xdr:nvSpPr>
        <xdr:cNvPr id="27" name="nuNumber: 26" hidden="1">
          <a:extLst>
            <a:ext uri="{FF2B5EF4-FFF2-40B4-BE49-F238E27FC236}">
              <a16:creationId xmlns:a16="http://schemas.microsoft.com/office/drawing/2014/main" id="{826B9F0B-B563-4E0D-9C36-60B29E957C61}"/>
            </a:ext>
          </a:extLst>
        </xdr:cNvPr>
        <xdr:cNvSpPr/>
      </xdr:nvSpPr>
      <xdr:spPr bwMode="auto">
        <a:xfrm>
          <a:off x="10515600" y="3357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15</xdr:row>
      <xdr:rowOff>119380</xdr:rowOff>
    </xdr:from>
    <xdr:to>
      <xdr:col>15</xdr:col>
      <xdr:colOff>63500</xdr:colOff>
      <xdr:row>16</xdr:row>
      <xdr:rowOff>0</xdr:rowOff>
    </xdr:to>
    <xdr:sp macro="" textlink="">
      <xdr:nvSpPr>
        <xdr:cNvPr id="28" name="nuNumber: 27" hidden="1">
          <a:extLst>
            <a:ext uri="{FF2B5EF4-FFF2-40B4-BE49-F238E27FC236}">
              <a16:creationId xmlns:a16="http://schemas.microsoft.com/office/drawing/2014/main" id="{1DD469BA-CE4B-429A-87B8-8014EB828AB1}"/>
            </a:ext>
          </a:extLst>
        </xdr:cNvPr>
        <xdr:cNvSpPr/>
      </xdr:nvSpPr>
      <xdr:spPr bwMode="auto">
        <a:xfrm>
          <a:off x="11325225" y="3357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15</xdr:row>
      <xdr:rowOff>119380</xdr:rowOff>
    </xdr:from>
    <xdr:to>
      <xdr:col>16</xdr:col>
      <xdr:colOff>63500</xdr:colOff>
      <xdr:row>16</xdr:row>
      <xdr:rowOff>0</xdr:rowOff>
    </xdr:to>
    <xdr:sp macro="" textlink="">
      <xdr:nvSpPr>
        <xdr:cNvPr id="29" name="nuNumber: 28" hidden="1">
          <a:extLst>
            <a:ext uri="{FF2B5EF4-FFF2-40B4-BE49-F238E27FC236}">
              <a16:creationId xmlns:a16="http://schemas.microsoft.com/office/drawing/2014/main" id="{93A02A21-D810-466F-AEF1-838C2D6963AF}"/>
            </a:ext>
          </a:extLst>
        </xdr:cNvPr>
        <xdr:cNvSpPr/>
      </xdr:nvSpPr>
      <xdr:spPr bwMode="auto">
        <a:xfrm>
          <a:off x="12106275" y="3357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15</xdr:row>
      <xdr:rowOff>119380</xdr:rowOff>
    </xdr:from>
    <xdr:to>
      <xdr:col>17</xdr:col>
      <xdr:colOff>63500</xdr:colOff>
      <xdr:row>16</xdr:row>
      <xdr:rowOff>0</xdr:rowOff>
    </xdr:to>
    <xdr:sp macro="" textlink="">
      <xdr:nvSpPr>
        <xdr:cNvPr id="30" name="nuNumber: 29" hidden="1">
          <a:extLst>
            <a:ext uri="{FF2B5EF4-FFF2-40B4-BE49-F238E27FC236}">
              <a16:creationId xmlns:a16="http://schemas.microsoft.com/office/drawing/2014/main" id="{7E4F9973-FAED-49AF-9D17-2202BA99D881}"/>
            </a:ext>
          </a:extLst>
        </xdr:cNvPr>
        <xdr:cNvSpPr/>
      </xdr:nvSpPr>
      <xdr:spPr bwMode="auto">
        <a:xfrm>
          <a:off x="12887325" y="3357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15</xdr:row>
      <xdr:rowOff>119380</xdr:rowOff>
    </xdr:from>
    <xdr:to>
      <xdr:col>18</xdr:col>
      <xdr:colOff>63499</xdr:colOff>
      <xdr:row>16</xdr:row>
      <xdr:rowOff>0</xdr:rowOff>
    </xdr:to>
    <xdr:sp macro="" textlink="">
      <xdr:nvSpPr>
        <xdr:cNvPr id="31" name="nuNumber: 30" hidden="1">
          <a:extLst>
            <a:ext uri="{FF2B5EF4-FFF2-40B4-BE49-F238E27FC236}">
              <a16:creationId xmlns:a16="http://schemas.microsoft.com/office/drawing/2014/main" id="{3AEF5FBD-A04B-489E-9A35-EB5CCEC4C1B8}"/>
            </a:ext>
          </a:extLst>
        </xdr:cNvPr>
        <xdr:cNvSpPr/>
      </xdr:nvSpPr>
      <xdr:spPr bwMode="auto">
        <a:xfrm>
          <a:off x="13624559" y="335788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15</xdr:row>
      <xdr:rowOff>119380</xdr:rowOff>
    </xdr:from>
    <xdr:to>
      <xdr:col>19</xdr:col>
      <xdr:colOff>63500</xdr:colOff>
      <xdr:row>16</xdr:row>
      <xdr:rowOff>0</xdr:rowOff>
    </xdr:to>
    <xdr:sp macro="" textlink="">
      <xdr:nvSpPr>
        <xdr:cNvPr id="32" name="nuNumber: 31" hidden="1">
          <a:extLst>
            <a:ext uri="{FF2B5EF4-FFF2-40B4-BE49-F238E27FC236}">
              <a16:creationId xmlns:a16="http://schemas.microsoft.com/office/drawing/2014/main" id="{6615D5ED-D959-4B0C-B025-A21232878D2B}"/>
            </a:ext>
          </a:extLst>
        </xdr:cNvPr>
        <xdr:cNvSpPr/>
      </xdr:nvSpPr>
      <xdr:spPr bwMode="auto">
        <a:xfrm>
          <a:off x="14382750" y="3357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15</xdr:row>
      <xdr:rowOff>119380</xdr:rowOff>
    </xdr:from>
    <xdr:to>
      <xdr:col>20</xdr:col>
      <xdr:colOff>63500</xdr:colOff>
      <xdr:row>16</xdr:row>
      <xdr:rowOff>0</xdr:rowOff>
    </xdr:to>
    <xdr:sp macro="" textlink="">
      <xdr:nvSpPr>
        <xdr:cNvPr id="33" name="nuNumber: 32" hidden="1">
          <a:extLst>
            <a:ext uri="{FF2B5EF4-FFF2-40B4-BE49-F238E27FC236}">
              <a16:creationId xmlns:a16="http://schemas.microsoft.com/office/drawing/2014/main" id="{C9857418-9BB8-4C82-B643-DFDE0F878F7D}"/>
            </a:ext>
          </a:extLst>
        </xdr:cNvPr>
        <xdr:cNvSpPr/>
      </xdr:nvSpPr>
      <xdr:spPr bwMode="auto">
        <a:xfrm>
          <a:off x="15135225" y="3357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15</xdr:row>
      <xdr:rowOff>119380</xdr:rowOff>
    </xdr:from>
    <xdr:to>
      <xdr:col>21</xdr:col>
      <xdr:colOff>63500</xdr:colOff>
      <xdr:row>16</xdr:row>
      <xdr:rowOff>0</xdr:rowOff>
    </xdr:to>
    <xdr:sp macro="" textlink="">
      <xdr:nvSpPr>
        <xdr:cNvPr id="34" name="nuNumber: 33" hidden="1">
          <a:extLst>
            <a:ext uri="{FF2B5EF4-FFF2-40B4-BE49-F238E27FC236}">
              <a16:creationId xmlns:a16="http://schemas.microsoft.com/office/drawing/2014/main" id="{DBC57071-15A4-43C0-8B0C-12D00E04BE83}"/>
            </a:ext>
          </a:extLst>
        </xdr:cNvPr>
        <xdr:cNvSpPr/>
      </xdr:nvSpPr>
      <xdr:spPr bwMode="auto">
        <a:xfrm>
          <a:off x="15849600" y="3357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16</xdr:row>
      <xdr:rowOff>119380</xdr:rowOff>
    </xdr:from>
    <xdr:to>
      <xdr:col>8</xdr:col>
      <xdr:colOff>63500</xdr:colOff>
      <xdr:row>17</xdr:row>
      <xdr:rowOff>0</xdr:rowOff>
    </xdr:to>
    <xdr:sp macro="" textlink="">
      <xdr:nvSpPr>
        <xdr:cNvPr id="35" name="nuNumber: 34" hidden="1">
          <a:extLst>
            <a:ext uri="{FF2B5EF4-FFF2-40B4-BE49-F238E27FC236}">
              <a16:creationId xmlns:a16="http://schemas.microsoft.com/office/drawing/2014/main" id="{F70A14E1-8197-4BA3-8930-AED3598E2D9C}"/>
            </a:ext>
          </a:extLst>
        </xdr:cNvPr>
        <xdr:cNvSpPr/>
      </xdr:nvSpPr>
      <xdr:spPr bwMode="auto">
        <a:xfrm>
          <a:off x="5562600" y="3567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16</xdr:row>
      <xdr:rowOff>119380</xdr:rowOff>
    </xdr:from>
    <xdr:to>
      <xdr:col>9</xdr:col>
      <xdr:colOff>63500</xdr:colOff>
      <xdr:row>17</xdr:row>
      <xdr:rowOff>0</xdr:rowOff>
    </xdr:to>
    <xdr:sp macro="" textlink="">
      <xdr:nvSpPr>
        <xdr:cNvPr id="36" name="nuNumber: 35" hidden="1">
          <a:extLst>
            <a:ext uri="{FF2B5EF4-FFF2-40B4-BE49-F238E27FC236}">
              <a16:creationId xmlns:a16="http://schemas.microsoft.com/office/drawing/2014/main" id="{1AB49B2C-A0CA-49DE-9028-94ECFA66AF33}"/>
            </a:ext>
          </a:extLst>
        </xdr:cNvPr>
        <xdr:cNvSpPr/>
      </xdr:nvSpPr>
      <xdr:spPr bwMode="auto">
        <a:xfrm>
          <a:off x="6467475" y="3567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16</xdr:row>
      <xdr:rowOff>119380</xdr:rowOff>
    </xdr:from>
    <xdr:to>
      <xdr:col>9</xdr:col>
      <xdr:colOff>63500</xdr:colOff>
      <xdr:row>17</xdr:row>
      <xdr:rowOff>0</xdr:rowOff>
    </xdr:to>
    <xdr:sp macro="" textlink="">
      <xdr:nvSpPr>
        <xdr:cNvPr id="37" name="nuNumber: 36" hidden="1">
          <a:extLst>
            <a:ext uri="{FF2B5EF4-FFF2-40B4-BE49-F238E27FC236}">
              <a16:creationId xmlns:a16="http://schemas.microsoft.com/office/drawing/2014/main" id="{1CF4BA39-832D-4D3F-83B7-03372F8CB62A}"/>
            </a:ext>
          </a:extLst>
        </xdr:cNvPr>
        <xdr:cNvSpPr/>
      </xdr:nvSpPr>
      <xdr:spPr bwMode="auto">
        <a:xfrm>
          <a:off x="6467475" y="3567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16</xdr:row>
      <xdr:rowOff>119380</xdr:rowOff>
    </xdr:from>
    <xdr:to>
      <xdr:col>10</xdr:col>
      <xdr:colOff>63500</xdr:colOff>
      <xdr:row>17</xdr:row>
      <xdr:rowOff>0</xdr:rowOff>
    </xdr:to>
    <xdr:sp macro="" textlink="">
      <xdr:nvSpPr>
        <xdr:cNvPr id="38" name="nuNumber: 37" hidden="1">
          <a:extLst>
            <a:ext uri="{FF2B5EF4-FFF2-40B4-BE49-F238E27FC236}">
              <a16:creationId xmlns:a16="http://schemas.microsoft.com/office/drawing/2014/main" id="{AF772A19-3670-4047-8E1D-EECE22342F60}"/>
            </a:ext>
          </a:extLst>
        </xdr:cNvPr>
        <xdr:cNvSpPr/>
      </xdr:nvSpPr>
      <xdr:spPr bwMode="auto">
        <a:xfrm>
          <a:off x="7315200" y="3567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16</xdr:row>
      <xdr:rowOff>119380</xdr:rowOff>
    </xdr:from>
    <xdr:to>
      <xdr:col>11</xdr:col>
      <xdr:colOff>63500</xdr:colOff>
      <xdr:row>17</xdr:row>
      <xdr:rowOff>0</xdr:rowOff>
    </xdr:to>
    <xdr:sp macro="" textlink="">
      <xdr:nvSpPr>
        <xdr:cNvPr id="39" name="nuNumber: 38" hidden="1">
          <a:extLst>
            <a:ext uri="{FF2B5EF4-FFF2-40B4-BE49-F238E27FC236}">
              <a16:creationId xmlns:a16="http://schemas.microsoft.com/office/drawing/2014/main" id="{FFACB558-54D4-4D5D-AEB4-CBE40756A70C}"/>
            </a:ext>
          </a:extLst>
        </xdr:cNvPr>
        <xdr:cNvSpPr/>
      </xdr:nvSpPr>
      <xdr:spPr bwMode="auto">
        <a:xfrm>
          <a:off x="8105775" y="3567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16</xdr:row>
      <xdr:rowOff>119380</xdr:rowOff>
    </xdr:from>
    <xdr:to>
      <xdr:col>12</xdr:col>
      <xdr:colOff>63500</xdr:colOff>
      <xdr:row>17</xdr:row>
      <xdr:rowOff>0</xdr:rowOff>
    </xdr:to>
    <xdr:sp macro="" textlink="">
      <xdr:nvSpPr>
        <xdr:cNvPr id="40" name="nuNumber: 39" hidden="1">
          <a:extLst>
            <a:ext uri="{FF2B5EF4-FFF2-40B4-BE49-F238E27FC236}">
              <a16:creationId xmlns:a16="http://schemas.microsoft.com/office/drawing/2014/main" id="{3033E59C-75B5-4E93-925A-833CDB18AB87}"/>
            </a:ext>
          </a:extLst>
        </xdr:cNvPr>
        <xdr:cNvSpPr/>
      </xdr:nvSpPr>
      <xdr:spPr bwMode="auto">
        <a:xfrm>
          <a:off x="8972550" y="3567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16</xdr:row>
      <xdr:rowOff>119380</xdr:rowOff>
    </xdr:from>
    <xdr:to>
      <xdr:col>13</xdr:col>
      <xdr:colOff>63500</xdr:colOff>
      <xdr:row>17</xdr:row>
      <xdr:rowOff>0</xdr:rowOff>
    </xdr:to>
    <xdr:sp macro="" textlink="">
      <xdr:nvSpPr>
        <xdr:cNvPr id="41" name="nuNumber: 40" hidden="1">
          <a:extLst>
            <a:ext uri="{FF2B5EF4-FFF2-40B4-BE49-F238E27FC236}">
              <a16:creationId xmlns:a16="http://schemas.microsoft.com/office/drawing/2014/main" id="{A9858FAF-86A4-49C5-ACB9-1C5F7537DA4B}"/>
            </a:ext>
          </a:extLst>
        </xdr:cNvPr>
        <xdr:cNvSpPr/>
      </xdr:nvSpPr>
      <xdr:spPr bwMode="auto">
        <a:xfrm>
          <a:off x="9753600" y="3567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16</xdr:row>
      <xdr:rowOff>119380</xdr:rowOff>
    </xdr:from>
    <xdr:to>
      <xdr:col>14</xdr:col>
      <xdr:colOff>63500</xdr:colOff>
      <xdr:row>17</xdr:row>
      <xdr:rowOff>0</xdr:rowOff>
    </xdr:to>
    <xdr:sp macro="" textlink="">
      <xdr:nvSpPr>
        <xdr:cNvPr id="42" name="nuNumber: 41" hidden="1">
          <a:extLst>
            <a:ext uri="{FF2B5EF4-FFF2-40B4-BE49-F238E27FC236}">
              <a16:creationId xmlns:a16="http://schemas.microsoft.com/office/drawing/2014/main" id="{7BB928B5-BD45-4576-A327-B6A70DBEAF73}"/>
            </a:ext>
          </a:extLst>
        </xdr:cNvPr>
        <xdr:cNvSpPr/>
      </xdr:nvSpPr>
      <xdr:spPr bwMode="auto">
        <a:xfrm>
          <a:off x="10515600" y="3567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16</xdr:row>
      <xdr:rowOff>119380</xdr:rowOff>
    </xdr:from>
    <xdr:to>
      <xdr:col>15</xdr:col>
      <xdr:colOff>63500</xdr:colOff>
      <xdr:row>17</xdr:row>
      <xdr:rowOff>0</xdr:rowOff>
    </xdr:to>
    <xdr:sp macro="" textlink="">
      <xdr:nvSpPr>
        <xdr:cNvPr id="43" name="nuNumber: 42" hidden="1">
          <a:extLst>
            <a:ext uri="{FF2B5EF4-FFF2-40B4-BE49-F238E27FC236}">
              <a16:creationId xmlns:a16="http://schemas.microsoft.com/office/drawing/2014/main" id="{E070C913-3164-4424-B7C6-EC08B80C97A0}"/>
            </a:ext>
          </a:extLst>
        </xdr:cNvPr>
        <xdr:cNvSpPr/>
      </xdr:nvSpPr>
      <xdr:spPr bwMode="auto">
        <a:xfrm>
          <a:off x="11325225" y="3567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16</xdr:row>
      <xdr:rowOff>119380</xdr:rowOff>
    </xdr:from>
    <xdr:to>
      <xdr:col>16</xdr:col>
      <xdr:colOff>63500</xdr:colOff>
      <xdr:row>17</xdr:row>
      <xdr:rowOff>0</xdr:rowOff>
    </xdr:to>
    <xdr:sp macro="" textlink="">
      <xdr:nvSpPr>
        <xdr:cNvPr id="44" name="nuNumber: 43" hidden="1">
          <a:extLst>
            <a:ext uri="{FF2B5EF4-FFF2-40B4-BE49-F238E27FC236}">
              <a16:creationId xmlns:a16="http://schemas.microsoft.com/office/drawing/2014/main" id="{EA82222B-7961-4C9F-B7EE-0F90FB0EDAAE}"/>
            </a:ext>
          </a:extLst>
        </xdr:cNvPr>
        <xdr:cNvSpPr/>
      </xdr:nvSpPr>
      <xdr:spPr bwMode="auto">
        <a:xfrm>
          <a:off x="12106275" y="3567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16</xdr:row>
      <xdr:rowOff>119380</xdr:rowOff>
    </xdr:from>
    <xdr:to>
      <xdr:col>17</xdr:col>
      <xdr:colOff>63500</xdr:colOff>
      <xdr:row>17</xdr:row>
      <xdr:rowOff>0</xdr:rowOff>
    </xdr:to>
    <xdr:sp macro="" textlink="">
      <xdr:nvSpPr>
        <xdr:cNvPr id="45" name="nuNumber: 44" hidden="1">
          <a:extLst>
            <a:ext uri="{FF2B5EF4-FFF2-40B4-BE49-F238E27FC236}">
              <a16:creationId xmlns:a16="http://schemas.microsoft.com/office/drawing/2014/main" id="{7D4661BC-2A5B-4B28-8D54-C15B179D6194}"/>
            </a:ext>
          </a:extLst>
        </xdr:cNvPr>
        <xdr:cNvSpPr/>
      </xdr:nvSpPr>
      <xdr:spPr bwMode="auto">
        <a:xfrm>
          <a:off x="12887325" y="3567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16</xdr:row>
      <xdr:rowOff>119380</xdr:rowOff>
    </xdr:from>
    <xdr:to>
      <xdr:col>18</xdr:col>
      <xdr:colOff>63499</xdr:colOff>
      <xdr:row>17</xdr:row>
      <xdr:rowOff>0</xdr:rowOff>
    </xdr:to>
    <xdr:sp macro="" textlink="">
      <xdr:nvSpPr>
        <xdr:cNvPr id="46" name="nuNumber: 45" hidden="1">
          <a:extLst>
            <a:ext uri="{FF2B5EF4-FFF2-40B4-BE49-F238E27FC236}">
              <a16:creationId xmlns:a16="http://schemas.microsoft.com/office/drawing/2014/main" id="{990FA339-1310-4D28-8951-53419C79DC23}"/>
            </a:ext>
          </a:extLst>
        </xdr:cNvPr>
        <xdr:cNvSpPr/>
      </xdr:nvSpPr>
      <xdr:spPr bwMode="auto">
        <a:xfrm>
          <a:off x="13624559" y="356743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16</xdr:row>
      <xdr:rowOff>119380</xdr:rowOff>
    </xdr:from>
    <xdr:to>
      <xdr:col>19</xdr:col>
      <xdr:colOff>63500</xdr:colOff>
      <xdr:row>17</xdr:row>
      <xdr:rowOff>0</xdr:rowOff>
    </xdr:to>
    <xdr:sp macro="" textlink="">
      <xdr:nvSpPr>
        <xdr:cNvPr id="47" name="nuNumber: 46" hidden="1">
          <a:extLst>
            <a:ext uri="{FF2B5EF4-FFF2-40B4-BE49-F238E27FC236}">
              <a16:creationId xmlns:a16="http://schemas.microsoft.com/office/drawing/2014/main" id="{53F20F03-142F-4F1A-AEF5-477B260A3D36}"/>
            </a:ext>
          </a:extLst>
        </xdr:cNvPr>
        <xdr:cNvSpPr/>
      </xdr:nvSpPr>
      <xdr:spPr bwMode="auto">
        <a:xfrm>
          <a:off x="14382750" y="3567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16</xdr:row>
      <xdr:rowOff>119380</xdr:rowOff>
    </xdr:from>
    <xdr:to>
      <xdr:col>20</xdr:col>
      <xdr:colOff>63500</xdr:colOff>
      <xdr:row>17</xdr:row>
      <xdr:rowOff>0</xdr:rowOff>
    </xdr:to>
    <xdr:sp macro="" textlink="">
      <xdr:nvSpPr>
        <xdr:cNvPr id="48" name="nuNumber: 47" hidden="1">
          <a:extLst>
            <a:ext uri="{FF2B5EF4-FFF2-40B4-BE49-F238E27FC236}">
              <a16:creationId xmlns:a16="http://schemas.microsoft.com/office/drawing/2014/main" id="{E2BF1C87-93B6-4EE8-AF29-B301454362A0}"/>
            </a:ext>
          </a:extLst>
        </xdr:cNvPr>
        <xdr:cNvSpPr/>
      </xdr:nvSpPr>
      <xdr:spPr bwMode="auto">
        <a:xfrm>
          <a:off x="15135225" y="3567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16</xdr:row>
      <xdr:rowOff>119380</xdr:rowOff>
    </xdr:from>
    <xdr:to>
      <xdr:col>21</xdr:col>
      <xdr:colOff>63500</xdr:colOff>
      <xdr:row>17</xdr:row>
      <xdr:rowOff>0</xdr:rowOff>
    </xdr:to>
    <xdr:sp macro="" textlink="">
      <xdr:nvSpPr>
        <xdr:cNvPr id="49" name="nuNumber: 48" hidden="1">
          <a:extLst>
            <a:ext uri="{FF2B5EF4-FFF2-40B4-BE49-F238E27FC236}">
              <a16:creationId xmlns:a16="http://schemas.microsoft.com/office/drawing/2014/main" id="{C50E4523-8104-4BC2-BAD2-87138D5E1BF3}"/>
            </a:ext>
          </a:extLst>
        </xdr:cNvPr>
        <xdr:cNvSpPr/>
      </xdr:nvSpPr>
      <xdr:spPr bwMode="auto">
        <a:xfrm>
          <a:off x="15849600" y="3567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17</xdr:row>
      <xdr:rowOff>119380</xdr:rowOff>
    </xdr:from>
    <xdr:to>
      <xdr:col>8</xdr:col>
      <xdr:colOff>63500</xdr:colOff>
      <xdr:row>18</xdr:row>
      <xdr:rowOff>0</xdr:rowOff>
    </xdr:to>
    <xdr:sp macro="" textlink="">
      <xdr:nvSpPr>
        <xdr:cNvPr id="50" name="nuNumber: 49" hidden="1">
          <a:extLst>
            <a:ext uri="{FF2B5EF4-FFF2-40B4-BE49-F238E27FC236}">
              <a16:creationId xmlns:a16="http://schemas.microsoft.com/office/drawing/2014/main" id="{43E9D771-B9E9-491B-A40A-A0BC4A3AFCE4}"/>
            </a:ext>
          </a:extLst>
        </xdr:cNvPr>
        <xdr:cNvSpPr/>
      </xdr:nvSpPr>
      <xdr:spPr bwMode="auto">
        <a:xfrm>
          <a:off x="5562600" y="37769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17</xdr:row>
      <xdr:rowOff>119380</xdr:rowOff>
    </xdr:from>
    <xdr:to>
      <xdr:col>9</xdr:col>
      <xdr:colOff>63500</xdr:colOff>
      <xdr:row>18</xdr:row>
      <xdr:rowOff>0</xdr:rowOff>
    </xdr:to>
    <xdr:sp macro="" textlink="">
      <xdr:nvSpPr>
        <xdr:cNvPr id="51" name="nuNumber: 50" hidden="1">
          <a:extLst>
            <a:ext uri="{FF2B5EF4-FFF2-40B4-BE49-F238E27FC236}">
              <a16:creationId xmlns:a16="http://schemas.microsoft.com/office/drawing/2014/main" id="{6F6FC078-7754-4653-B516-7B8DAACA4B2E}"/>
            </a:ext>
          </a:extLst>
        </xdr:cNvPr>
        <xdr:cNvSpPr/>
      </xdr:nvSpPr>
      <xdr:spPr bwMode="auto">
        <a:xfrm>
          <a:off x="6467475" y="37769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17</xdr:row>
      <xdr:rowOff>119380</xdr:rowOff>
    </xdr:from>
    <xdr:to>
      <xdr:col>9</xdr:col>
      <xdr:colOff>63500</xdr:colOff>
      <xdr:row>18</xdr:row>
      <xdr:rowOff>0</xdr:rowOff>
    </xdr:to>
    <xdr:sp macro="" textlink="">
      <xdr:nvSpPr>
        <xdr:cNvPr id="52" name="nuNumber: 51" hidden="1">
          <a:extLst>
            <a:ext uri="{FF2B5EF4-FFF2-40B4-BE49-F238E27FC236}">
              <a16:creationId xmlns:a16="http://schemas.microsoft.com/office/drawing/2014/main" id="{37D8E870-AEE1-4075-B179-C424D2BFA9F3}"/>
            </a:ext>
          </a:extLst>
        </xdr:cNvPr>
        <xdr:cNvSpPr/>
      </xdr:nvSpPr>
      <xdr:spPr bwMode="auto">
        <a:xfrm>
          <a:off x="6467475" y="37769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17</xdr:row>
      <xdr:rowOff>119380</xdr:rowOff>
    </xdr:from>
    <xdr:to>
      <xdr:col>10</xdr:col>
      <xdr:colOff>63500</xdr:colOff>
      <xdr:row>18</xdr:row>
      <xdr:rowOff>0</xdr:rowOff>
    </xdr:to>
    <xdr:sp macro="" textlink="">
      <xdr:nvSpPr>
        <xdr:cNvPr id="53" name="nuNumber: 52" hidden="1">
          <a:extLst>
            <a:ext uri="{FF2B5EF4-FFF2-40B4-BE49-F238E27FC236}">
              <a16:creationId xmlns:a16="http://schemas.microsoft.com/office/drawing/2014/main" id="{0B42DF9E-9905-47AF-8ADA-ADE25464B6EB}"/>
            </a:ext>
          </a:extLst>
        </xdr:cNvPr>
        <xdr:cNvSpPr/>
      </xdr:nvSpPr>
      <xdr:spPr bwMode="auto">
        <a:xfrm>
          <a:off x="7315200" y="37769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17</xdr:row>
      <xdr:rowOff>119380</xdr:rowOff>
    </xdr:from>
    <xdr:to>
      <xdr:col>11</xdr:col>
      <xdr:colOff>63500</xdr:colOff>
      <xdr:row>18</xdr:row>
      <xdr:rowOff>0</xdr:rowOff>
    </xdr:to>
    <xdr:sp macro="" textlink="">
      <xdr:nvSpPr>
        <xdr:cNvPr id="54" name="nuNumber: 53" hidden="1">
          <a:extLst>
            <a:ext uri="{FF2B5EF4-FFF2-40B4-BE49-F238E27FC236}">
              <a16:creationId xmlns:a16="http://schemas.microsoft.com/office/drawing/2014/main" id="{244927F9-41E8-4C17-B7AC-F4DA4E3D49F9}"/>
            </a:ext>
          </a:extLst>
        </xdr:cNvPr>
        <xdr:cNvSpPr/>
      </xdr:nvSpPr>
      <xdr:spPr bwMode="auto">
        <a:xfrm>
          <a:off x="8105775" y="37769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17</xdr:row>
      <xdr:rowOff>119380</xdr:rowOff>
    </xdr:from>
    <xdr:to>
      <xdr:col>12</xdr:col>
      <xdr:colOff>63500</xdr:colOff>
      <xdr:row>18</xdr:row>
      <xdr:rowOff>0</xdr:rowOff>
    </xdr:to>
    <xdr:sp macro="" textlink="">
      <xdr:nvSpPr>
        <xdr:cNvPr id="55" name="nuNumber: 54" hidden="1">
          <a:extLst>
            <a:ext uri="{FF2B5EF4-FFF2-40B4-BE49-F238E27FC236}">
              <a16:creationId xmlns:a16="http://schemas.microsoft.com/office/drawing/2014/main" id="{CF41CBFD-C167-4A1B-863D-D7923DE5A79B}"/>
            </a:ext>
          </a:extLst>
        </xdr:cNvPr>
        <xdr:cNvSpPr/>
      </xdr:nvSpPr>
      <xdr:spPr bwMode="auto">
        <a:xfrm>
          <a:off x="8972550" y="37769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17</xdr:row>
      <xdr:rowOff>119380</xdr:rowOff>
    </xdr:from>
    <xdr:to>
      <xdr:col>13</xdr:col>
      <xdr:colOff>63500</xdr:colOff>
      <xdr:row>18</xdr:row>
      <xdr:rowOff>0</xdr:rowOff>
    </xdr:to>
    <xdr:sp macro="" textlink="">
      <xdr:nvSpPr>
        <xdr:cNvPr id="56" name="nuNumber: 55" hidden="1">
          <a:extLst>
            <a:ext uri="{FF2B5EF4-FFF2-40B4-BE49-F238E27FC236}">
              <a16:creationId xmlns:a16="http://schemas.microsoft.com/office/drawing/2014/main" id="{00F5A796-EACD-49F6-ABDA-7FE261CA2114}"/>
            </a:ext>
          </a:extLst>
        </xdr:cNvPr>
        <xdr:cNvSpPr/>
      </xdr:nvSpPr>
      <xdr:spPr bwMode="auto">
        <a:xfrm>
          <a:off x="9753600" y="37769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17</xdr:row>
      <xdr:rowOff>119380</xdr:rowOff>
    </xdr:from>
    <xdr:to>
      <xdr:col>14</xdr:col>
      <xdr:colOff>63500</xdr:colOff>
      <xdr:row>18</xdr:row>
      <xdr:rowOff>0</xdr:rowOff>
    </xdr:to>
    <xdr:sp macro="" textlink="">
      <xdr:nvSpPr>
        <xdr:cNvPr id="57" name="nuNumber: 56" hidden="1">
          <a:extLst>
            <a:ext uri="{FF2B5EF4-FFF2-40B4-BE49-F238E27FC236}">
              <a16:creationId xmlns:a16="http://schemas.microsoft.com/office/drawing/2014/main" id="{1BFFFD2A-7784-418B-8323-D2695C3CCC5C}"/>
            </a:ext>
          </a:extLst>
        </xdr:cNvPr>
        <xdr:cNvSpPr/>
      </xdr:nvSpPr>
      <xdr:spPr bwMode="auto">
        <a:xfrm>
          <a:off x="10515600" y="37769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17</xdr:row>
      <xdr:rowOff>119380</xdr:rowOff>
    </xdr:from>
    <xdr:to>
      <xdr:col>15</xdr:col>
      <xdr:colOff>63500</xdr:colOff>
      <xdr:row>18</xdr:row>
      <xdr:rowOff>0</xdr:rowOff>
    </xdr:to>
    <xdr:sp macro="" textlink="">
      <xdr:nvSpPr>
        <xdr:cNvPr id="58" name="nuNumber: 57" hidden="1">
          <a:extLst>
            <a:ext uri="{FF2B5EF4-FFF2-40B4-BE49-F238E27FC236}">
              <a16:creationId xmlns:a16="http://schemas.microsoft.com/office/drawing/2014/main" id="{3E08151F-8319-47BF-884C-05E4B523AE74}"/>
            </a:ext>
          </a:extLst>
        </xdr:cNvPr>
        <xdr:cNvSpPr/>
      </xdr:nvSpPr>
      <xdr:spPr bwMode="auto">
        <a:xfrm>
          <a:off x="11325225" y="37769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17</xdr:row>
      <xdr:rowOff>119380</xdr:rowOff>
    </xdr:from>
    <xdr:to>
      <xdr:col>16</xdr:col>
      <xdr:colOff>63500</xdr:colOff>
      <xdr:row>18</xdr:row>
      <xdr:rowOff>0</xdr:rowOff>
    </xdr:to>
    <xdr:sp macro="" textlink="">
      <xdr:nvSpPr>
        <xdr:cNvPr id="59" name="nuNumber: 58" hidden="1">
          <a:extLst>
            <a:ext uri="{FF2B5EF4-FFF2-40B4-BE49-F238E27FC236}">
              <a16:creationId xmlns:a16="http://schemas.microsoft.com/office/drawing/2014/main" id="{3C1F9896-C63F-4308-83B9-0F0DB7A36FF8}"/>
            </a:ext>
          </a:extLst>
        </xdr:cNvPr>
        <xdr:cNvSpPr/>
      </xdr:nvSpPr>
      <xdr:spPr bwMode="auto">
        <a:xfrm>
          <a:off x="12106275" y="37769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17</xdr:row>
      <xdr:rowOff>119380</xdr:rowOff>
    </xdr:from>
    <xdr:to>
      <xdr:col>17</xdr:col>
      <xdr:colOff>63500</xdr:colOff>
      <xdr:row>18</xdr:row>
      <xdr:rowOff>0</xdr:rowOff>
    </xdr:to>
    <xdr:sp macro="" textlink="">
      <xdr:nvSpPr>
        <xdr:cNvPr id="60" name="nuNumber: 59" hidden="1">
          <a:extLst>
            <a:ext uri="{FF2B5EF4-FFF2-40B4-BE49-F238E27FC236}">
              <a16:creationId xmlns:a16="http://schemas.microsoft.com/office/drawing/2014/main" id="{3767CD16-8F1E-4876-B263-8DC5BCA3EBF1}"/>
            </a:ext>
          </a:extLst>
        </xdr:cNvPr>
        <xdr:cNvSpPr/>
      </xdr:nvSpPr>
      <xdr:spPr bwMode="auto">
        <a:xfrm>
          <a:off x="12887325" y="37769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17</xdr:row>
      <xdr:rowOff>119380</xdr:rowOff>
    </xdr:from>
    <xdr:to>
      <xdr:col>18</xdr:col>
      <xdr:colOff>63499</xdr:colOff>
      <xdr:row>18</xdr:row>
      <xdr:rowOff>0</xdr:rowOff>
    </xdr:to>
    <xdr:sp macro="" textlink="">
      <xdr:nvSpPr>
        <xdr:cNvPr id="61" name="nuNumber: 60" hidden="1">
          <a:extLst>
            <a:ext uri="{FF2B5EF4-FFF2-40B4-BE49-F238E27FC236}">
              <a16:creationId xmlns:a16="http://schemas.microsoft.com/office/drawing/2014/main" id="{EC391315-D921-4184-AD4F-4E962062F7F3}"/>
            </a:ext>
          </a:extLst>
        </xdr:cNvPr>
        <xdr:cNvSpPr/>
      </xdr:nvSpPr>
      <xdr:spPr bwMode="auto">
        <a:xfrm>
          <a:off x="13624559" y="377698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17</xdr:row>
      <xdr:rowOff>119380</xdr:rowOff>
    </xdr:from>
    <xdr:to>
      <xdr:col>19</xdr:col>
      <xdr:colOff>63500</xdr:colOff>
      <xdr:row>18</xdr:row>
      <xdr:rowOff>0</xdr:rowOff>
    </xdr:to>
    <xdr:sp macro="" textlink="">
      <xdr:nvSpPr>
        <xdr:cNvPr id="62" name="nuNumber: 61" hidden="1">
          <a:extLst>
            <a:ext uri="{FF2B5EF4-FFF2-40B4-BE49-F238E27FC236}">
              <a16:creationId xmlns:a16="http://schemas.microsoft.com/office/drawing/2014/main" id="{4EC81FFB-F44A-402F-9798-C05DED65C3CE}"/>
            </a:ext>
          </a:extLst>
        </xdr:cNvPr>
        <xdr:cNvSpPr/>
      </xdr:nvSpPr>
      <xdr:spPr bwMode="auto">
        <a:xfrm>
          <a:off x="14382750" y="37769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17</xdr:row>
      <xdr:rowOff>119380</xdr:rowOff>
    </xdr:from>
    <xdr:to>
      <xdr:col>20</xdr:col>
      <xdr:colOff>63500</xdr:colOff>
      <xdr:row>18</xdr:row>
      <xdr:rowOff>0</xdr:rowOff>
    </xdr:to>
    <xdr:sp macro="" textlink="">
      <xdr:nvSpPr>
        <xdr:cNvPr id="63" name="nuNumber: 62" hidden="1">
          <a:extLst>
            <a:ext uri="{FF2B5EF4-FFF2-40B4-BE49-F238E27FC236}">
              <a16:creationId xmlns:a16="http://schemas.microsoft.com/office/drawing/2014/main" id="{8E3035DD-90A2-4FD8-A48B-DC029F5AB79F}"/>
            </a:ext>
          </a:extLst>
        </xdr:cNvPr>
        <xdr:cNvSpPr/>
      </xdr:nvSpPr>
      <xdr:spPr bwMode="auto">
        <a:xfrm>
          <a:off x="15135225" y="37769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17</xdr:row>
      <xdr:rowOff>119380</xdr:rowOff>
    </xdr:from>
    <xdr:to>
      <xdr:col>21</xdr:col>
      <xdr:colOff>63500</xdr:colOff>
      <xdr:row>18</xdr:row>
      <xdr:rowOff>0</xdr:rowOff>
    </xdr:to>
    <xdr:sp macro="" textlink="">
      <xdr:nvSpPr>
        <xdr:cNvPr id="64" name="nuNumber: 63" hidden="1">
          <a:extLst>
            <a:ext uri="{FF2B5EF4-FFF2-40B4-BE49-F238E27FC236}">
              <a16:creationId xmlns:a16="http://schemas.microsoft.com/office/drawing/2014/main" id="{8810D3AD-9E1A-4DAE-B4ED-A500EDC00D2F}"/>
            </a:ext>
          </a:extLst>
        </xdr:cNvPr>
        <xdr:cNvSpPr/>
      </xdr:nvSpPr>
      <xdr:spPr bwMode="auto">
        <a:xfrm>
          <a:off x="15849600" y="37769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18</xdr:row>
      <xdr:rowOff>119380</xdr:rowOff>
    </xdr:from>
    <xdr:to>
      <xdr:col>8</xdr:col>
      <xdr:colOff>63500</xdr:colOff>
      <xdr:row>19</xdr:row>
      <xdr:rowOff>0</xdr:rowOff>
    </xdr:to>
    <xdr:sp macro="" textlink="">
      <xdr:nvSpPr>
        <xdr:cNvPr id="65" name="nuNumber: 64" hidden="1">
          <a:extLst>
            <a:ext uri="{FF2B5EF4-FFF2-40B4-BE49-F238E27FC236}">
              <a16:creationId xmlns:a16="http://schemas.microsoft.com/office/drawing/2014/main" id="{6CE4BAF0-9AF7-4AC5-9489-1D6116B6D2F8}"/>
            </a:ext>
          </a:extLst>
        </xdr:cNvPr>
        <xdr:cNvSpPr/>
      </xdr:nvSpPr>
      <xdr:spPr bwMode="auto">
        <a:xfrm>
          <a:off x="5562600" y="3986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18</xdr:row>
      <xdr:rowOff>119380</xdr:rowOff>
    </xdr:from>
    <xdr:to>
      <xdr:col>9</xdr:col>
      <xdr:colOff>63500</xdr:colOff>
      <xdr:row>19</xdr:row>
      <xdr:rowOff>0</xdr:rowOff>
    </xdr:to>
    <xdr:sp macro="" textlink="">
      <xdr:nvSpPr>
        <xdr:cNvPr id="66" name="nuNumber: 65" hidden="1">
          <a:extLst>
            <a:ext uri="{FF2B5EF4-FFF2-40B4-BE49-F238E27FC236}">
              <a16:creationId xmlns:a16="http://schemas.microsoft.com/office/drawing/2014/main" id="{3FD5FD0D-3AB2-49BB-8401-6C68853D22EA}"/>
            </a:ext>
          </a:extLst>
        </xdr:cNvPr>
        <xdr:cNvSpPr/>
      </xdr:nvSpPr>
      <xdr:spPr bwMode="auto">
        <a:xfrm>
          <a:off x="6467475" y="3986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18</xdr:row>
      <xdr:rowOff>119380</xdr:rowOff>
    </xdr:from>
    <xdr:to>
      <xdr:col>9</xdr:col>
      <xdr:colOff>63500</xdr:colOff>
      <xdr:row>19</xdr:row>
      <xdr:rowOff>0</xdr:rowOff>
    </xdr:to>
    <xdr:sp macro="" textlink="">
      <xdr:nvSpPr>
        <xdr:cNvPr id="67" name="nuNumber: 66" hidden="1">
          <a:extLst>
            <a:ext uri="{FF2B5EF4-FFF2-40B4-BE49-F238E27FC236}">
              <a16:creationId xmlns:a16="http://schemas.microsoft.com/office/drawing/2014/main" id="{4745932A-BE87-42C5-B6A0-DC3E82D2359D}"/>
            </a:ext>
          </a:extLst>
        </xdr:cNvPr>
        <xdr:cNvSpPr/>
      </xdr:nvSpPr>
      <xdr:spPr bwMode="auto">
        <a:xfrm>
          <a:off x="6467475" y="3986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18</xdr:row>
      <xdr:rowOff>119380</xdr:rowOff>
    </xdr:from>
    <xdr:to>
      <xdr:col>10</xdr:col>
      <xdr:colOff>63500</xdr:colOff>
      <xdr:row>19</xdr:row>
      <xdr:rowOff>0</xdr:rowOff>
    </xdr:to>
    <xdr:sp macro="" textlink="">
      <xdr:nvSpPr>
        <xdr:cNvPr id="68" name="nuNumber: 67" hidden="1">
          <a:extLst>
            <a:ext uri="{FF2B5EF4-FFF2-40B4-BE49-F238E27FC236}">
              <a16:creationId xmlns:a16="http://schemas.microsoft.com/office/drawing/2014/main" id="{5EC07E18-8CF0-46CC-85CB-8C66AD78DF38}"/>
            </a:ext>
          </a:extLst>
        </xdr:cNvPr>
        <xdr:cNvSpPr/>
      </xdr:nvSpPr>
      <xdr:spPr bwMode="auto">
        <a:xfrm>
          <a:off x="7315200" y="3986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18</xdr:row>
      <xdr:rowOff>119380</xdr:rowOff>
    </xdr:from>
    <xdr:to>
      <xdr:col>11</xdr:col>
      <xdr:colOff>63500</xdr:colOff>
      <xdr:row>19</xdr:row>
      <xdr:rowOff>0</xdr:rowOff>
    </xdr:to>
    <xdr:sp macro="" textlink="">
      <xdr:nvSpPr>
        <xdr:cNvPr id="69" name="nuNumber: 68" hidden="1">
          <a:extLst>
            <a:ext uri="{FF2B5EF4-FFF2-40B4-BE49-F238E27FC236}">
              <a16:creationId xmlns:a16="http://schemas.microsoft.com/office/drawing/2014/main" id="{F3831055-3AD1-4D86-A189-BEDD41B42695}"/>
            </a:ext>
          </a:extLst>
        </xdr:cNvPr>
        <xdr:cNvSpPr/>
      </xdr:nvSpPr>
      <xdr:spPr bwMode="auto">
        <a:xfrm>
          <a:off x="8105775" y="3986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18</xdr:row>
      <xdr:rowOff>119380</xdr:rowOff>
    </xdr:from>
    <xdr:to>
      <xdr:col>12</xdr:col>
      <xdr:colOff>63500</xdr:colOff>
      <xdr:row>19</xdr:row>
      <xdr:rowOff>0</xdr:rowOff>
    </xdr:to>
    <xdr:sp macro="" textlink="">
      <xdr:nvSpPr>
        <xdr:cNvPr id="70" name="nuNumber: 69" hidden="1">
          <a:extLst>
            <a:ext uri="{FF2B5EF4-FFF2-40B4-BE49-F238E27FC236}">
              <a16:creationId xmlns:a16="http://schemas.microsoft.com/office/drawing/2014/main" id="{C970754D-C3F1-4B16-ADB3-0B905AD84739}"/>
            </a:ext>
          </a:extLst>
        </xdr:cNvPr>
        <xdr:cNvSpPr/>
      </xdr:nvSpPr>
      <xdr:spPr bwMode="auto">
        <a:xfrm>
          <a:off x="8972550" y="3986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18</xdr:row>
      <xdr:rowOff>119380</xdr:rowOff>
    </xdr:from>
    <xdr:to>
      <xdr:col>13</xdr:col>
      <xdr:colOff>63500</xdr:colOff>
      <xdr:row>19</xdr:row>
      <xdr:rowOff>0</xdr:rowOff>
    </xdr:to>
    <xdr:sp macro="" textlink="">
      <xdr:nvSpPr>
        <xdr:cNvPr id="71" name="nuNumber: 70" hidden="1">
          <a:extLst>
            <a:ext uri="{FF2B5EF4-FFF2-40B4-BE49-F238E27FC236}">
              <a16:creationId xmlns:a16="http://schemas.microsoft.com/office/drawing/2014/main" id="{F348547F-8C04-4976-8083-9EB25289F60B}"/>
            </a:ext>
          </a:extLst>
        </xdr:cNvPr>
        <xdr:cNvSpPr/>
      </xdr:nvSpPr>
      <xdr:spPr bwMode="auto">
        <a:xfrm>
          <a:off x="9753600" y="3986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18</xdr:row>
      <xdr:rowOff>119380</xdr:rowOff>
    </xdr:from>
    <xdr:to>
      <xdr:col>14</xdr:col>
      <xdr:colOff>63500</xdr:colOff>
      <xdr:row>19</xdr:row>
      <xdr:rowOff>0</xdr:rowOff>
    </xdr:to>
    <xdr:sp macro="" textlink="">
      <xdr:nvSpPr>
        <xdr:cNvPr id="72" name="nuNumber: 71" hidden="1">
          <a:extLst>
            <a:ext uri="{FF2B5EF4-FFF2-40B4-BE49-F238E27FC236}">
              <a16:creationId xmlns:a16="http://schemas.microsoft.com/office/drawing/2014/main" id="{9CA9565B-6F66-49C1-B577-1D5E696DCA38}"/>
            </a:ext>
          </a:extLst>
        </xdr:cNvPr>
        <xdr:cNvSpPr/>
      </xdr:nvSpPr>
      <xdr:spPr bwMode="auto">
        <a:xfrm>
          <a:off x="10515600" y="3986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18</xdr:row>
      <xdr:rowOff>119380</xdr:rowOff>
    </xdr:from>
    <xdr:to>
      <xdr:col>15</xdr:col>
      <xdr:colOff>63500</xdr:colOff>
      <xdr:row>19</xdr:row>
      <xdr:rowOff>0</xdr:rowOff>
    </xdr:to>
    <xdr:sp macro="" textlink="">
      <xdr:nvSpPr>
        <xdr:cNvPr id="73" name="nuNumber: 72" hidden="1">
          <a:extLst>
            <a:ext uri="{FF2B5EF4-FFF2-40B4-BE49-F238E27FC236}">
              <a16:creationId xmlns:a16="http://schemas.microsoft.com/office/drawing/2014/main" id="{D8F33C40-846F-4DF7-8867-AF174430015C}"/>
            </a:ext>
          </a:extLst>
        </xdr:cNvPr>
        <xdr:cNvSpPr/>
      </xdr:nvSpPr>
      <xdr:spPr bwMode="auto">
        <a:xfrm>
          <a:off x="11325225" y="3986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18</xdr:row>
      <xdr:rowOff>119380</xdr:rowOff>
    </xdr:from>
    <xdr:to>
      <xdr:col>16</xdr:col>
      <xdr:colOff>63500</xdr:colOff>
      <xdr:row>19</xdr:row>
      <xdr:rowOff>0</xdr:rowOff>
    </xdr:to>
    <xdr:sp macro="" textlink="">
      <xdr:nvSpPr>
        <xdr:cNvPr id="74" name="nuNumber: 73" hidden="1">
          <a:extLst>
            <a:ext uri="{FF2B5EF4-FFF2-40B4-BE49-F238E27FC236}">
              <a16:creationId xmlns:a16="http://schemas.microsoft.com/office/drawing/2014/main" id="{8ED06B8F-D025-4117-9337-A7536F16BA13}"/>
            </a:ext>
          </a:extLst>
        </xdr:cNvPr>
        <xdr:cNvSpPr/>
      </xdr:nvSpPr>
      <xdr:spPr bwMode="auto">
        <a:xfrm>
          <a:off x="12106275" y="3986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18</xdr:row>
      <xdr:rowOff>119380</xdr:rowOff>
    </xdr:from>
    <xdr:to>
      <xdr:col>17</xdr:col>
      <xdr:colOff>63500</xdr:colOff>
      <xdr:row>19</xdr:row>
      <xdr:rowOff>0</xdr:rowOff>
    </xdr:to>
    <xdr:sp macro="" textlink="">
      <xdr:nvSpPr>
        <xdr:cNvPr id="75" name="nuNumber: 74" hidden="1">
          <a:extLst>
            <a:ext uri="{FF2B5EF4-FFF2-40B4-BE49-F238E27FC236}">
              <a16:creationId xmlns:a16="http://schemas.microsoft.com/office/drawing/2014/main" id="{1A42A489-2458-47B3-A18B-80B2A80DAD60}"/>
            </a:ext>
          </a:extLst>
        </xdr:cNvPr>
        <xdr:cNvSpPr/>
      </xdr:nvSpPr>
      <xdr:spPr bwMode="auto">
        <a:xfrm>
          <a:off x="12887325" y="3986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18</xdr:row>
      <xdr:rowOff>119380</xdr:rowOff>
    </xdr:from>
    <xdr:to>
      <xdr:col>18</xdr:col>
      <xdr:colOff>63499</xdr:colOff>
      <xdr:row>19</xdr:row>
      <xdr:rowOff>0</xdr:rowOff>
    </xdr:to>
    <xdr:sp macro="" textlink="">
      <xdr:nvSpPr>
        <xdr:cNvPr id="76" name="nuNumber: 75" hidden="1">
          <a:extLst>
            <a:ext uri="{FF2B5EF4-FFF2-40B4-BE49-F238E27FC236}">
              <a16:creationId xmlns:a16="http://schemas.microsoft.com/office/drawing/2014/main" id="{3B43FEE4-543A-4C50-A7BF-AB9BAC1AE853}"/>
            </a:ext>
          </a:extLst>
        </xdr:cNvPr>
        <xdr:cNvSpPr/>
      </xdr:nvSpPr>
      <xdr:spPr bwMode="auto">
        <a:xfrm>
          <a:off x="13624559" y="398653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18</xdr:row>
      <xdr:rowOff>119380</xdr:rowOff>
    </xdr:from>
    <xdr:to>
      <xdr:col>19</xdr:col>
      <xdr:colOff>63500</xdr:colOff>
      <xdr:row>19</xdr:row>
      <xdr:rowOff>0</xdr:rowOff>
    </xdr:to>
    <xdr:sp macro="" textlink="">
      <xdr:nvSpPr>
        <xdr:cNvPr id="77" name="nuNumber: 76" hidden="1">
          <a:extLst>
            <a:ext uri="{FF2B5EF4-FFF2-40B4-BE49-F238E27FC236}">
              <a16:creationId xmlns:a16="http://schemas.microsoft.com/office/drawing/2014/main" id="{0F1B5967-AF80-4348-BBA8-1FBFBBD7EDB9}"/>
            </a:ext>
          </a:extLst>
        </xdr:cNvPr>
        <xdr:cNvSpPr/>
      </xdr:nvSpPr>
      <xdr:spPr bwMode="auto">
        <a:xfrm>
          <a:off x="14382750" y="3986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18</xdr:row>
      <xdr:rowOff>119380</xdr:rowOff>
    </xdr:from>
    <xdr:to>
      <xdr:col>20</xdr:col>
      <xdr:colOff>63500</xdr:colOff>
      <xdr:row>19</xdr:row>
      <xdr:rowOff>0</xdr:rowOff>
    </xdr:to>
    <xdr:sp macro="" textlink="">
      <xdr:nvSpPr>
        <xdr:cNvPr id="78" name="nuNumber: 77" hidden="1">
          <a:extLst>
            <a:ext uri="{FF2B5EF4-FFF2-40B4-BE49-F238E27FC236}">
              <a16:creationId xmlns:a16="http://schemas.microsoft.com/office/drawing/2014/main" id="{120E5235-99BD-4C36-BDC8-4C1903658080}"/>
            </a:ext>
          </a:extLst>
        </xdr:cNvPr>
        <xdr:cNvSpPr/>
      </xdr:nvSpPr>
      <xdr:spPr bwMode="auto">
        <a:xfrm>
          <a:off x="15135225" y="3986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18</xdr:row>
      <xdr:rowOff>119380</xdr:rowOff>
    </xdr:from>
    <xdr:to>
      <xdr:col>21</xdr:col>
      <xdr:colOff>63500</xdr:colOff>
      <xdr:row>19</xdr:row>
      <xdr:rowOff>0</xdr:rowOff>
    </xdr:to>
    <xdr:sp macro="" textlink="">
      <xdr:nvSpPr>
        <xdr:cNvPr id="79" name="nuNumber: 78" hidden="1">
          <a:extLst>
            <a:ext uri="{FF2B5EF4-FFF2-40B4-BE49-F238E27FC236}">
              <a16:creationId xmlns:a16="http://schemas.microsoft.com/office/drawing/2014/main" id="{F17339B4-8938-44FC-BE10-D7926A38ECE9}"/>
            </a:ext>
          </a:extLst>
        </xdr:cNvPr>
        <xdr:cNvSpPr/>
      </xdr:nvSpPr>
      <xdr:spPr bwMode="auto">
        <a:xfrm>
          <a:off x="15849600" y="3986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19</xdr:row>
      <xdr:rowOff>119380</xdr:rowOff>
    </xdr:from>
    <xdr:to>
      <xdr:col>8</xdr:col>
      <xdr:colOff>63500</xdr:colOff>
      <xdr:row>20</xdr:row>
      <xdr:rowOff>0</xdr:rowOff>
    </xdr:to>
    <xdr:sp macro="" textlink="">
      <xdr:nvSpPr>
        <xdr:cNvPr id="80" name="nuNumber: 79" hidden="1">
          <a:extLst>
            <a:ext uri="{FF2B5EF4-FFF2-40B4-BE49-F238E27FC236}">
              <a16:creationId xmlns:a16="http://schemas.microsoft.com/office/drawing/2014/main" id="{8B6BF5EB-BB06-4E11-B917-5247A30342D5}"/>
            </a:ext>
          </a:extLst>
        </xdr:cNvPr>
        <xdr:cNvSpPr/>
      </xdr:nvSpPr>
      <xdr:spPr bwMode="auto">
        <a:xfrm>
          <a:off x="5562600" y="4196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19</xdr:row>
      <xdr:rowOff>119380</xdr:rowOff>
    </xdr:from>
    <xdr:to>
      <xdr:col>9</xdr:col>
      <xdr:colOff>63500</xdr:colOff>
      <xdr:row>20</xdr:row>
      <xdr:rowOff>0</xdr:rowOff>
    </xdr:to>
    <xdr:sp macro="" textlink="">
      <xdr:nvSpPr>
        <xdr:cNvPr id="81" name="nuNumber: 80" hidden="1">
          <a:extLst>
            <a:ext uri="{FF2B5EF4-FFF2-40B4-BE49-F238E27FC236}">
              <a16:creationId xmlns:a16="http://schemas.microsoft.com/office/drawing/2014/main" id="{939E721A-6DC9-4E37-8754-4AD7578ED5F7}"/>
            </a:ext>
          </a:extLst>
        </xdr:cNvPr>
        <xdr:cNvSpPr/>
      </xdr:nvSpPr>
      <xdr:spPr bwMode="auto">
        <a:xfrm>
          <a:off x="6467475" y="4196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19</xdr:row>
      <xdr:rowOff>119380</xdr:rowOff>
    </xdr:from>
    <xdr:to>
      <xdr:col>9</xdr:col>
      <xdr:colOff>63500</xdr:colOff>
      <xdr:row>20</xdr:row>
      <xdr:rowOff>0</xdr:rowOff>
    </xdr:to>
    <xdr:sp macro="" textlink="">
      <xdr:nvSpPr>
        <xdr:cNvPr id="82" name="nuNumber: 81" hidden="1">
          <a:extLst>
            <a:ext uri="{FF2B5EF4-FFF2-40B4-BE49-F238E27FC236}">
              <a16:creationId xmlns:a16="http://schemas.microsoft.com/office/drawing/2014/main" id="{2EF63A65-E8DF-4328-80AA-F89105C41500}"/>
            </a:ext>
          </a:extLst>
        </xdr:cNvPr>
        <xdr:cNvSpPr/>
      </xdr:nvSpPr>
      <xdr:spPr bwMode="auto">
        <a:xfrm>
          <a:off x="6467475" y="4196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19</xdr:row>
      <xdr:rowOff>119380</xdr:rowOff>
    </xdr:from>
    <xdr:to>
      <xdr:col>10</xdr:col>
      <xdr:colOff>63500</xdr:colOff>
      <xdr:row>20</xdr:row>
      <xdr:rowOff>0</xdr:rowOff>
    </xdr:to>
    <xdr:sp macro="" textlink="">
      <xdr:nvSpPr>
        <xdr:cNvPr id="83" name="nuNumber: 82" hidden="1">
          <a:extLst>
            <a:ext uri="{FF2B5EF4-FFF2-40B4-BE49-F238E27FC236}">
              <a16:creationId xmlns:a16="http://schemas.microsoft.com/office/drawing/2014/main" id="{5D6FD7BC-3A26-433A-B700-240C16C288B2}"/>
            </a:ext>
          </a:extLst>
        </xdr:cNvPr>
        <xdr:cNvSpPr/>
      </xdr:nvSpPr>
      <xdr:spPr bwMode="auto">
        <a:xfrm>
          <a:off x="7315200" y="4196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19</xdr:row>
      <xdr:rowOff>119380</xdr:rowOff>
    </xdr:from>
    <xdr:to>
      <xdr:col>11</xdr:col>
      <xdr:colOff>63500</xdr:colOff>
      <xdr:row>20</xdr:row>
      <xdr:rowOff>0</xdr:rowOff>
    </xdr:to>
    <xdr:sp macro="" textlink="">
      <xdr:nvSpPr>
        <xdr:cNvPr id="84" name="nuNumber: 83" hidden="1">
          <a:extLst>
            <a:ext uri="{FF2B5EF4-FFF2-40B4-BE49-F238E27FC236}">
              <a16:creationId xmlns:a16="http://schemas.microsoft.com/office/drawing/2014/main" id="{65DF44DF-DFB1-4D1E-865D-019698544706}"/>
            </a:ext>
          </a:extLst>
        </xdr:cNvPr>
        <xdr:cNvSpPr/>
      </xdr:nvSpPr>
      <xdr:spPr bwMode="auto">
        <a:xfrm>
          <a:off x="8105775" y="4196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19</xdr:row>
      <xdr:rowOff>119380</xdr:rowOff>
    </xdr:from>
    <xdr:to>
      <xdr:col>12</xdr:col>
      <xdr:colOff>63500</xdr:colOff>
      <xdr:row>20</xdr:row>
      <xdr:rowOff>0</xdr:rowOff>
    </xdr:to>
    <xdr:sp macro="" textlink="">
      <xdr:nvSpPr>
        <xdr:cNvPr id="85" name="nuNumber: 84" hidden="1">
          <a:extLst>
            <a:ext uri="{FF2B5EF4-FFF2-40B4-BE49-F238E27FC236}">
              <a16:creationId xmlns:a16="http://schemas.microsoft.com/office/drawing/2014/main" id="{DE727F5A-ECC4-4B89-8C6F-5B1547CD39E2}"/>
            </a:ext>
          </a:extLst>
        </xdr:cNvPr>
        <xdr:cNvSpPr/>
      </xdr:nvSpPr>
      <xdr:spPr bwMode="auto">
        <a:xfrm>
          <a:off x="8972550" y="4196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19</xdr:row>
      <xdr:rowOff>119380</xdr:rowOff>
    </xdr:from>
    <xdr:to>
      <xdr:col>13</xdr:col>
      <xdr:colOff>63500</xdr:colOff>
      <xdr:row>20</xdr:row>
      <xdr:rowOff>0</xdr:rowOff>
    </xdr:to>
    <xdr:sp macro="" textlink="">
      <xdr:nvSpPr>
        <xdr:cNvPr id="86" name="nuNumber: 85" hidden="1">
          <a:extLst>
            <a:ext uri="{FF2B5EF4-FFF2-40B4-BE49-F238E27FC236}">
              <a16:creationId xmlns:a16="http://schemas.microsoft.com/office/drawing/2014/main" id="{A8F910E5-56F3-4C50-BF49-DF6651D0E7E6}"/>
            </a:ext>
          </a:extLst>
        </xdr:cNvPr>
        <xdr:cNvSpPr/>
      </xdr:nvSpPr>
      <xdr:spPr bwMode="auto">
        <a:xfrm>
          <a:off x="9753600" y="4196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19</xdr:row>
      <xdr:rowOff>119380</xdr:rowOff>
    </xdr:from>
    <xdr:to>
      <xdr:col>14</xdr:col>
      <xdr:colOff>63500</xdr:colOff>
      <xdr:row>20</xdr:row>
      <xdr:rowOff>0</xdr:rowOff>
    </xdr:to>
    <xdr:sp macro="" textlink="">
      <xdr:nvSpPr>
        <xdr:cNvPr id="87" name="nuNumber: 86" hidden="1">
          <a:extLst>
            <a:ext uri="{FF2B5EF4-FFF2-40B4-BE49-F238E27FC236}">
              <a16:creationId xmlns:a16="http://schemas.microsoft.com/office/drawing/2014/main" id="{A2B09483-4AE1-4992-B3FE-B9EA1CF3FAEF}"/>
            </a:ext>
          </a:extLst>
        </xdr:cNvPr>
        <xdr:cNvSpPr/>
      </xdr:nvSpPr>
      <xdr:spPr bwMode="auto">
        <a:xfrm>
          <a:off x="10515600" y="4196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19</xdr:row>
      <xdr:rowOff>119380</xdr:rowOff>
    </xdr:from>
    <xdr:to>
      <xdr:col>15</xdr:col>
      <xdr:colOff>63500</xdr:colOff>
      <xdr:row>20</xdr:row>
      <xdr:rowOff>0</xdr:rowOff>
    </xdr:to>
    <xdr:sp macro="" textlink="">
      <xdr:nvSpPr>
        <xdr:cNvPr id="88" name="nuNumber: 87" hidden="1">
          <a:extLst>
            <a:ext uri="{FF2B5EF4-FFF2-40B4-BE49-F238E27FC236}">
              <a16:creationId xmlns:a16="http://schemas.microsoft.com/office/drawing/2014/main" id="{9912166C-9434-45E3-A5F3-B6673F4FE6FD}"/>
            </a:ext>
          </a:extLst>
        </xdr:cNvPr>
        <xdr:cNvSpPr/>
      </xdr:nvSpPr>
      <xdr:spPr bwMode="auto">
        <a:xfrm>
          <a:off x="11325225" y="4196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19</xdr:row>
      <xdr:rowOff>119380</xdr:rowOff>
    </xdr:from>
    <xdr:to>
      <xdr:col>16</xdr:col>
      <xdr:colOff>63500</xdr:colOff>
      <xdr:row>20</xdr:row>
      <xdr:rowOff>0</xdr:rowOff>
    </xdr:to>
    <xdr:sp macro="" textlink="">
      <xdr:nvSpPr>
        <xdr:cNvPr id="89" name="nuNumber: 88" hidden="1">
          <a:extLst>
            <a:ext uri="{FF2B5EF4-FFF2-40B4-BE49-F238E27FC236}">
              <a16:creationId xmlns:a16="http://schemas.microsoft.com/office/drawing/2014/main" id="{58AFE070-91DA-4EC0-BA19-AC1193B516BA}"/>
            </a:ext>
          </a:extLst>
        </xdr:cNvPr>
        <xdr:cNvSpPr/>
      </xdr:nvSpPr>
      <xdr:spPr bwMode="auto">
        <a:xfrm>
          <a:off x="12106275" y="4196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19</xdr:row>
      <xdr:rowOff>119380</xdr:rowOff>
    </xdr:from>
    <xdr:to>
      <xdr:col>17</xdr:col>
      <xdr:colOff>63500</xdr:colOff>
      <xdr:row>20</xdr:row>
      <xdr:rowOff>0</xdr:rowOff>
    </xdr:to>
    <xdr:sp macro="" textlink="">
      <xdr:nvSpPr>
        <xdr:cNvPr id="90" name="nuNumber: 89" hidden="1">
          <a:extLst>
            <a:ext uri="{FF2B5EF4-FFF2-40B4-BE49-F238E27FC236}">
              <a16:creationId xmlns:a16="http://schemas.microsoft.com/office/drawing/2014/main" id="{D5AD09A6-617E-4B3F-BA79-2AE345093A2F}"/>
            </a:ext>
          </a:extLst>
        </xdr:cNvPr>
        <xdr:cNvSpPr/>
      </xdr:nvSpPr>
      <xdr:spPr bwMode="auto">
        <a:xfrm>
          <a:off x="12887325" y="4196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19</xdr:row>
      <xdr:rowOff>119380</xdr:rowOff>
    </xdr:from>
    <xdr:to>
      <xdr:col>18</xdr:col>
      <xdr:colOff>63499</xdr:colOff>
      <xdr:row>20</xdr:row>
      <xdr:rowOff>0</xdr:rowOff>
    </xdr:to>
    <xdr:sp macro="" textlink="">
      <xdr:nvSpPr>
        <xdr:cNvPr id="91" name="nuNumber: 90" hidden="1">
          <a:extLst>
            <a:ext uri="{FF2B5EF4-FFF2-40B4-BE49-F238E27FC236}">
              <a16:creationId xmlns:a16="http://schemas.microsoft.com/office/drawing/2014/main" id="{404633EB-56A9-439C-A484-F96427AA076E}"/>
            </a:ext>
          </a:extLst>
        </xdr:cNvPr>
        <xdr:cNvSpPr/>
      </xdr:nvSpPr>
      <xdr:spPr bwMode="auto">
        <a:xfrm>
          <a:off x="13624559" y="419608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19</xdr:row>
      <xdr:rowOff>119380</xdr:rowOff>
    </xdr:from>
    <xdr:to>
      <xdr:col>19</xdr:col>
      <xdr:colOff>63500</xdr:colOff>
      <xdr:row>20</xdr:row>
      <xdr:rowOff>0</xdr:rowOff>
    </xdr:to>
    <xdr:sp macro="" textlink="">
      <xdr:nvSpPr>
        <xdr:cNvPr id="92" name="nuNumber: 91" hidden="1">
          <a:extLst>
            <a:ext uri="{FF2B5EF4-FFF2-40B4-BE49-F238E27FC236}">
              <a16:creationId xmlns:a16="http://schemas.microsoft.com/office/drawing/2014/main" id="{921AEA8F-881D-47E6-A9F8-F5A2D4BCF2D7}"/>
            </a:ext>
          </a:extLst>
        </xdr:cNvPr>
        <xdr:cNvSpPr/>
      </xdr:nvSpPr>
      <xdr:spPr bwMode="auto">
        <a:xfrm>
          <a:off x="14382750" y="4196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19</xdr:row>
      <xdr:rowOff>119380</xdr:rowOff>
    </xdr:from>
    <xdr:to>
      <xdr:col>20</xdr:col>
      <xdr:colOff>63500</xdr:colOff>
      <xdr:row>20</xdr:row>
      <xdr:rowOff>0</xdr:rowOff>
    </xdr:to>
    <xdr:sp macro="" textlink="">
      <xdr:nvSpPr>
        <xdr:cNvPr id="93" name="nuNumber: 92" hidden="1">
          <a:extLst>
            <a:ext uri="{FF2B5EF4-FFF2-40B4-BE49-F238E27FC236}">
              <a16:creationId xmlns:a16="http://schemas.microsoft.com/office/drawing/2014/main" id="{34364C74-9220-41CB-AEF1-F2017E932A7E}"/>
            </a:ext>
          </a:extLst>
        </xdr:cNvPr>
        <xdr:cNvSpPr/>
      </xdr:nvSpPr>
      <xdr:spPr bwMode="auto">
        <a:xfrm>
          <a:off x="15135225" y="4196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19</xdr:row>
      <xdr:rowOff>119380</xdr:rowOff>
    </xdr:from>
    <xdr:to>
      <xdr:col>21</xdr:col>
      <xdr:colOff>63500</xdr:colOff>
      <xdr:row>20</xdr:row>
      <xdr:rowOff>0</xdr:rowOff>
    </xdr:to>
    <xdr:sp macro="" textlink="">
      <xdr:nvSpPr>
        <xdr:cNvPr id="94" name="nuNumber: 93" hidden="1">
          <a:extLst>
            <a:ext uri="{FF2B5EF4-FFF2-40B4-BE49-F238E27FC236}">
              <a16:creationId xmlns:a16="http://schemas.microsoft.com/office/drawing/2014/main" id="{0FD6F9FA-51E2-4F0A-8D29-C310A129D910}"/>
            </a:ext>
          </a:extLst>
        </xdr:cNvPr>
        <xdr:cNvSpPr/>
      </xdr:nvSpPr>
      <xdr:spPr bwMode="auto">
        <a:xfrm>
          <a:off x="15849600" y="4196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22</xdr:row>
      <xdr:rowOff>119380</xdr:rowOff>
    </xdr:from>
    <xdr:to>
      <xdr:col>8</xdr:col>
      <xdr:colOff>63500</xdr:colOff>
      <xdr:row>23</xdr:row>
      <xdr:rowOff>0</xdr:rowOff>
    </xdr:to>
    <xdr:sp macro="" textlink="">
      <xdr:nvSpPr>
        <xdr:cNvPr id="95" name="nuNumber: 94" hidden="1">
          <a:extLst>
            <a:ext uri="{FF2B5EF4-FFF2-40B4-BE49-F238E27FC236}">
              <a16:creationId xmlns:a16="http://schemas.microsoft.com/office/drawing/2014/main" id="{D70A16FA-78A1-4799-AA43-44DD267E8460}"/>
            </a:ext>
          </a:extLst>
        </xdr:cNvPr>
        <xdr:cNvSpPr/>
      </xdr:nvSpPr>
      <xdr:spPr bwMode="auto">
        <a:xfrm>
          <a:off x="5562600" y="4824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22</xdr:row>
      <xdr:rowOff>119380</xdr:rowOff>
    </xdr:from>
    <xdr:to>
      <xdr:col>9</xdr:col>
      <xdr:colOff>63500</xdr:colOff>
      <xdr:row>23</xdr:row>
      <xdr:rowOff>0</xdr:rowOff>
    </xdr:to>
    <xdr:sp macro="" textlink="">
      <xdr:nvSpPr>
        <xdr:cNvPr id="96" name="nuNumber: 95" hidden="1">
          <a:extLst>
            <a:ext uri="{FF2B5EF4-FFF2-40B4-BE49-F238E27FC236}">
              <a16:creationId xmlns:a16="http://schemas.microsoft.com/office/drawing/2014/main" id="{540A167A-1BB0-43F7-AE71-19D034003DF8}"/>
            </a:ext>
          </a:extLst>
        </xdr:cNvPr>
        <xdr:cNvSpPr/>
      </xdr:nvSpPr>
      <xdr:spPr bwMode="auto">
        <a:xfrm>
          <a:off x="6467475" y="4824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22</xdr:row>
      <xdr:rowOff>119380</xdr:rowOff>
    </xdr:from>
    <xdr:to>
      <xdr:col>10</xdr:col>
      <xdr:colOff>63500</xdr:colOff>
      <xdr:row>23</xdr:row>
      <xdr:rowOff>0</xdr:rowOff>
    </xdr:to>
    <xdr:sp macro="" textlink="">
      <xdr:nvSpPr>
        <xdr:cNvPr id="97" name="nuNumber: 96" hidden="1">
          <a:extLst>
            <a:ext uri="{FF2B5EF4-FFF2-40B4-BE49-F238E27FC236}">
              <a16:creationId xmlns:a16="http://schemas.microsoft.com/office/drawing/2014/main" id="{8A380DCE-FB1D-43FF-8F35-2CBBE406DF37}"/>
            </a:ext>
          </a:extLst>
        </xdr:cNvPr>
        <xdr:cNvSpPr/>
      </xdr:nvSpPr>
      <xdr:spPr bwMode="auto">
        <a:xfrm>
          <a:off x="7315200" y="4824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22</xdr:row>
      <xdr:rowOff>119380</xdr:rowOff>
    </xdr:from>
    <xdr:to>
      <xdr:col>11</xdr:col>
      <xdr:colOff>63500</xdr:colOff>
      <xdr:row>23</xdr:row>
      <xdr:rowOff>0</xdr:rowOff>
    </xdr:to>
    <xdr:sp macro="" textlink="">
      <xdr:nvSpPr>
        <xdr:cNvPr id="98" name="nuNumber: 97" hidden="1">
          <a:extLst>
            <a:ext uri="{FF2B5EF4-FFF2-40B4-BE49-F238E27FC236}">
              <a16:creationId xmlns:a16="http://schemas.microsoft.com/office/drawing/2014/main" id="{A1347DE4-01CE-4C72-A442-6B3D9B235318}"/>
            </a:ext>
          </a:extLst>
        </xdr:cNvPr>
        <xdr:cNvSpPr/>
      </xdr:nvSpPr>
      <xdr:spPr bwMode="auto">
        <a:xfrm>
          <a:off x="8105775" y="4824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22</xdr:row>
      <xdr:rowOff>119380</xdr:rowOff>
    </xdr:from>
    <xdr:to>
      <xdr:col>12</xdr:col>
      <xdr:colOff>63500</xdr:colOff>
      <xdr:row>23</xdr:row>
      <xdr:rowOff>0</xdr:rowOff>
    </xdr:to>
    <xdr:sp macro="" textlink="">
      <xdr:nvSpPr>
        <xdr:cNvPr id="99" name="nuNumber: 98" hidden="1">
          <a:extLst>
            <a:ext uri="{FF2B5EF4-FFF2-40B4-BE49-F238E27FC236}">
              <a16:creationId xmlns:a16="http://schemas.microsoft.com/office/drawing/2014/main" id="{A0F636D5-9DCC-4CB8-9650-2587C6609197}"/>
            </a:ext>
          </a:extLst>
        </xdr:cNvPr>
        <xdr:cNvSpPr/>
      </xdr:nvSpPr>
      <xdr:spPr bwMode="auto">
        <a:xfrm>
          <a:off x="8972550" y="4824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22</xdr:row>
      <xdr:rowOff>119380</xdr:rowOff>
    </xdr:from>
    <xdr:to>
      <xdr:col>13</xdr:col>
      <xdr:colOff>63500</xdr:colOff>
      <xdr:row>23</xdr:row>
      <xdr:rowOff>0</xdr:rowOff>
    </xdr:to>
    <xdr:sp macro="" textlink="">
      <xdr:nvSpPr>
        <xdr:cNvPr id="100" name="nuNumber: 99" hidden="1">
          <a:extLst>
            <a:ext uri="{FF2B5EF4-FFF2-40B4-BE49-F238E27FC236}">
              <a16:creationId xmlns:a16="http://schemas.microsoft.com/office/drawing/2014/main" id="{166BAFC4-C4E5-4E6D-BF15-6B805228651D}"/>
            </a:ext>
          </a:extLst>
        </xdr:cNvPr>
        <xdr:cNvSpPr/>
      </xdr:nvSpPr>
      <xdr:spPr bwMode="auto">
        <a:xfrm>
          <a:off x="9753600" y="4824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22</xdr:row>
      <xdr:rowOff>119380</xdr:rowOff>
    </xdr:from>
    <xdr:to>
      <xdr:col>14</xdr:col>
      <xdr:colOff>63500</xdr:colOff>
      <xdr:row>23</xdr:row>
      <xdr:rowOff>0</xdr:rowOff>
    </xdr:to>
    <xdr:sp macro="" textlink="">
      <xdr:nvSpPr>
        <xdr:cNvPr id="101" name="nuNumber: 100" hidden="1">
          <a:extLst>
            <a:ext uri="{FF2B5EF4-FFF2-40B4-BE49-F238E27FC236}">
              <a16:creationId xmlns:a16="http://schemas.microsoft.com/office/drawing/2014/main" id="{4426FD28-27F5-4074-98D4-4913E9C68C5D}"/>
            </a:ext>
          </a:extLst>
        </xdr:cNvPr>
        <xdr:cNvSpPr/>
      </xdr:nvSpPr>
      <xdr:spPr bwMode="auto">
        <a:xfrm>
          <a:off x="10515600" y="4824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22</xdr:row>
      <xdr:rowOff>119380</xdr:rowOff>
    </xdr:from>
    <xdr:to>
      <xdr:col>15</xdr:col>
      <xdr:colOff>63500</xdr:colOff>
      <xdr:row>23</xdr:row>
      <xdr:rowOff>0</xdr:rowOff>
    </xdr:to>
    <xdr:sp macro="" textlink="">
      <xdr:nvSpPr>
        <xdr:cNvPr id="102" name="nuNumber: 101" hidden="1">
          <a:extLst>
            <a:ext uri="{FF2B5EF4-FFF2-40B4-BE49-F238E27FC236}">
              <a16:creationId xmlns:a16="http://schemas.microsoft.com/office/drawing/2014/main" id="{23CDF15E-3CF4-4F48-B8B6-DE6C0482BFD5}"/>
            </a:ext>
          </a:extLst>
        </xdr:cNvPr>
        <xdr:cNvSpPr/>
      </xdr:nvSpPr>
      <xdr:spPr bwMode="auto">
        <a:xfrm>
          <a:off x="11325225" y="4824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22</xdr:row>
      <xdr:rowOff>119380</xdr:rowOff>
    </xdr:from>
    <xdr:to>
      <xdr:col>16</xdr:col>
      <xdr:colOff>63500</xdr:colOff>
      <xdr:row>23</xdr:row>
      <xdr:rowOff>0</xdr:rowOff>
    </xdr:to>
    <xdr:sp macro="" textlink="">
      <xdr:nvSpPr>
        <xdr:cNvPr id="103" name="nuNumber: 102" hidden="1">
          <a:extLst>
            <a:ext uri="{FF2B5EF4-FFF2-40B4-BE49-F238E27FC236}">
              <a16:creationId xmlns:a16="http://schemas.microsoft.com/office/drawing/2014/main" id="{0F488D37-468E-4C72-8D85-30064AD373D4}"/>
            </a:ext>
          </a:extLst>
        </xdr:cNvPr>
        <xdr:cNvSpPr/>
      </xdr:nvSpPr>
      <xdr:spPr bwMode="auto">
        <a:xfrm>
          <a:off x="12106275" y="4824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22</xdr:row>
      <xdr:rowOff>119380</xdr:rowOff>
    </xdr:from>
    <xdr:to>
      <xdr:col>17</xdr:col>
      <xdr:colOff>63500</xdr:colOff>
      <xdr:row>23</xdr:row>
      <xdr:rowOff>0</xdr:rowOff>
    </xdr:to>
    <xdr:sp macro="" textlink="">
      <xdr:nvSpPr>
        <xdr:cNvPr id="104" name="nuNumber: 103" hidden="1">
          <a:extLst>
            <a:ext uri="{FF2B5EF4-FFF2-40B4-BE49-F238E27FC236}">
              <a16:creationId xmlns:a16="http://schemas.microsoft.com/office/drawing/2014/main" id="{FA9F340F-EB6A-42A5-867B-CAC7A7E625FC}"/>
            </a:ext>
          </a:extLst>
        </xdr:cNvPr>
        <xdr:cNvSpPr/>
      </xdr:nvSpPr>
      <xdr:spPr bwMode="auto">
        <a:xfrm>
          <a:off x="12887325" y="4824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22</xdr:row>
      <xdr:rowOff>119380</xdr:rowOff>
    </xdr:from>
    <xdr:to>
      <xdr:col>18</xdr:col>
      <xdr:colOff>63499</xdr:colOff>
      <xdr:row>23</xdr:row>
      <xdr:rowOff>0</xdr:rowOff>
    </xdr:to>
    <xdr:sp macro="" textlink="">
      <xdr:nvSpPr>
        <xdr:cNvPr id="105" name="nuNumber: 104" hidden="1">
          <a:extLst>
            <a:ext uri="{FF2B5EF4-FFF2-40B4-BE49-F238E27FC236}">
              <a16:creationId xmlns:a16="http://schemas.microsoft.com/office/drawing/2014/main" id="{4FF51D22-F1E4-45D2-B811-EE169AED6027}"/>
            </a:ext>
          </a:extLst>
        </xdr:cNvPr>
        <xdr:cNvSpPr/>
      </xdr:nvSpPr>
      <xdr:spPr bwMode="auto">
        <a:xfrm>
          <a:off x="13624559" y="482473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22</xdr:row>
      <xdr:rowOff>119380</xdr:rowOff>
    </xdr:from>
    <xdr:to>
      <xdr:col>19</xdr:col>
      <xdr:colOff>63500</xdr:colOff>
      <xdr:row>23</xdr:row>
      <xdr:rowOff>0</xdr:rowOff>
    </xdr:to>
    <xdr:sp macro="" textlink="">
      <xdr:nvSpPr>
        <xdr:cNvPr id="106" name="nuNumber: 105" hidden="1">
          <a:extLst>
            <a:ext uri="{FF2B5EF4-FFF2-40B4-BE49-F238E27FC236}">
              <a16:creationId xmlns:a16="http://schemas.microsoft.com/office/drawing/2014/main" id="{D5983619-EB71-4F50-A4E6-E64E4489D361}"/>
            </a:ext>
          </a:extLst>
        </xdr:cNvPr>
        <xdr:cNvSpPr/>
      </xdr:nvSpPr>
      <xdr:spPr bwMode="auto">
        <a:xfrm>
          <a:off x="14382750" y="4824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22</xdr:row>
      <xdr:rowOff>119380</xdr:rowOff>
    </xdr:from>
    <xdr:to>
      <xdr:col>20</xdr:col>
      <xdr:colOff>63500</xdr:colOff>
      <xdr:row>23</xdr:row>
      <xdr:rowOff>0</xdr:rowOff>
    </xdr:to>
    <xdr:sp macro="" textlink="">
      <xdr:nvSpPr>
        <xdr:cNvPr id="107" name="nuNumber: 106" hidden="1">
          <a:extLst>
            <a:ext uri="{FF2B5EF4-FFF2-40B4-BE49-F238E27FC236}">
              <a16:creationId xmlns:a16="http://schemas.microsoft.com/office/drawing/2014/main" id="{29DB9743-B316-4DF0-BBC5-867439E7E194}"/>
            </a:ext>
          </a:extLst>
        </xdr:cNvPr>
        <xdr:cNvSpPr/>
      </xdr:nvSpPr>
      <xdr:spPr bwMode="auto">
        <a:xfrm>
          <a:off x="15135225" y="4824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22</xdr:row>
      <xdr:rowOff>119380</xdr:rowOff>
    </xdr:from>
    <xdr:to>
      <xdr:col>21</xdr:col>
      <xdr:colOff>63500</xdr:colOff>
      <xdr:row>23</xdr:row>
      <xdr:rowOff>0</xdr:rowOff>
    </xdr:to>
    <xdr:sp macro="" textlink="">
      <xdr:nvSpPr>
        <xdr:cNvPr id="108" name="nuNumber: 107" hidden="1">
          <a:extLst>
            <a:ext uri="{FF2B5EF4-FFF2-40B4-BE49-F238E27FC236}">
              <a16:creationId xmlns:a16="http://schemas.microsoft.com/office/drawing/2014/main" id="{913A5807-81F7-45A1-8E74-1B84466F052F}"/>
            </a:ext>
          </a:extLst>
        </xdr:cNvPr>
        <xdr:cNvSpPr/>
      </xdr:nvSpPr>
      <xdr:spPr bwMode="auto">
        <a:xfrm>
          <a:off x="15849600" y="4824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23</xdr:row>
      <xdr:rowOff>119380</xdr:rowOff>
    </xdr:from>
    <xdr:to>
      <xdr:col>10</xdr:col>
      <xdr:colOff>63500</xdr:colOff>
      <xdr:row>24</xdr:row>
      <xdr:rowOff>0</xdr:rowOff>
    </xdr:to>
    <xdr:sp macro="" textlink="">
      <xdr:nvSpPr>
        <xdr:cNvPr id="109" name="nuNumber: 108" hidden="1">
          <a:extLst>
            <a:ext uri="{FF2B5EF4-FFF2-40B4-BE49-F238E27FC236}">
              <a16:creationId xmlns:a16="http://schemas.microsoft.com/office/drawing/2014/main" id="{0AD79972-3C78-4713-92BF-324027D7C1DD}"/>
            </a:ext>
          </a:extLst>
        </xdr:cNvPr>
        <xdr:cNvSpPr/>
      </xdr:nvSpPr>
      <xdr:spPr bwMode="auto">
        <a:xfrm>
          <a:off x="7315200" y="50342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23</xdr:row>
      <xdr:rowOff>119380</xdr:rowOff>
    </xdr:from>
    <xdr:to>
      <xdr:col>11</xdr:col>
      <xdr:colOff>63500</xdr:colOff>
      <xdr:row>24</xdr:row>
      <xdr:rowOff>0</xdr:rowOff>
    </xdr:to>
    <xdr:sp macro="" textlink="">
      <xdr:nvSpPr>
        <xdr:cNvPr id="110" name="nuNumber: 109" hidden="1">
          <a:extLst>
            <a:ext uri="{FF2B5EF4-FFF2-40B4-BE49-F238E27FC236}">
              <a16:creationId xmlns:a16="http://schemas.microsoft.com/office/drawing/2014/main" id="{09FB5F7B-10B4-497C-AC4F-E7B2D3C378B6}"/>
            </a:ext>
          </a:extLst>
        </xdr:cNvPr>
        <xdr:cNvSpPr/>
      </xdr:nvSpPr>
      <xdr:spPr bwMode="auto">
        <a:xfrm>
          <a:off x="8105775" y="50342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23</xdr:row>
      <xdr:rowOff>119380</xdr:rowOff>
    </xdr:from>
    <xdr:to>
      <xdr:col>12</xdr:col>
      <xdr:colOff>63500</xdr:colOff>
      <xdr:row>24</xdr:row>
      <xdr:rowOff>0</xdr:rowOff>
    </xdr:to>
    <xdr:sp macro="" textlink="">
      <xdr:nvSpPr>
        <xdr:cNvPr id="111" name="nuNumber: 110" hidden="1">
          <a:extLst>
            <a:ext uri="{FF2B5EF4-FFF2-40B4-BE49-F238E27FC236}">
              <a16:creationId xmlns:a16="http://schemas.microsoft.com/office/drawing/2014/main" id="{A8196B61-B6EC-4672-AB4C-D11F3B874700}"/>
            </a:ext>
          </a:extLst>
        </xdr:cNvPr>
        <xdr:cNvSpPr/>
      </xdr:nvSpPr>
      <xdr:spPr bwMode="auto">
        <a:xfrm>
          <a:off x="8972550" y="50342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23</xdr:row>
      <xdr:rowOff>119380</xdr:rowOff>
    </xdr:from>
    <xdr:to>
      <xdr:col>13</xdr:col>
      <xdr:colOff>63500</xdr:colOff>
      <xdr:row>24</xdr:row>
      <xdr:rowOff>0</xdr:rowOff>
    </xdr:to>
    <xdr:sp macro="" textlink="">
      <xdr:nvSpPr>
        <xdr:cNvPr id="112" name="nuNumber: 111" hidden="1">
          <a:extLst>
            <a:ext uri="{FF2B5EF4-FFF2-40B4-BE49-F238E27FC236}">
              <a16:creationId xmlns:a16="http://schemas.microsoft.com/office/drawing/2014/main" id="{0BC210AA-D108-41E7-9AFE-713C2524AC89}"/>
            </a:ext>
          </a:extLst>
        </xdr:cNvPr>
        <xdr:cNvSpPr/>
      </xdr:nvSpPr>
      <xdr:spPr bwMode="auto">
        <a:xfrm>
          <a:off x="9753600" y="50342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23</xdr:row>
      <xdr:rowOff>119380</xdr:rowOff>
    </xdr:from>
    <xdr:to>
      <xdr:col>14</xdr:col>
      <xdr:colOff>63500</xdr:colOff>
      <xdr:row>24</xdr:row>
      <xdr:rowOff>0</xdr:rowOff>
    </xdr:to>
    <xdr:sp macro="" textlink="">
      <xdr:nvSpPr>
        <xdr:cNvPr id="113" name="nuNumber: 112" hidden="1">
          <a:extLst>
            <a:ext uri="{FF2B5EF4-FFF2-40B4-BE49-F238E27FC236}">
              <a16:creationId xmlns:a16="http://schemas.microsoft.com/office/drawing/2014/main" id="{D9D675FA-DB37-45FA-A0A2-6498DF62A432}"/>
            </a:ext>
          </a:extLst>
        </xdr:cNvPr>
        <xdr:cNvSpPr/>
      </xdr:nvSpPr>
      <xdr:spPr bwMode="auto">
        <a:xfrm>
          <a:off x="10515600" y="50342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23</xdr:row>
      <xdr:rowOff>119380</xdr:rowOff>
    </xdr:from>
    <xdr:to>
      <xdr:col>15</xdr:col>
      <xdr:colOff>63500</xdr:colOff>
      <xdr:row>24</xdr:row>
      <xdr:rowOff>0</xdr:rowOff>
    </xdr:to>
    <xdr:sp macro="" textlink="">
      <xdr:nvSpPr>
        <xdr:cNvPr id="114" name="nuNumber: 113" hidden="1">
          <a:extLst>
            <a:ext uri="{FF2B5EF4-FFF2-40B4-BE49-F238E27FC236}">
              <a16:creationId xmlns:a16="http://schemas.microsoft.com/office/drawing/2014/main" id="{3B2145E4-A982-4942-A223-3A979252D795}"/>
            </a:ext>
          </a:extLst>
        </xdr:cNvPr>
        <xdr:cNvSpPr/>
      </xdr:nvSpPr>
      <xdr:spPr bwMode="auto">
        <a:xfrm>
          <a:off x="11325225" y="50342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23</xdr:row>
      <xdr:rowOff>119380</xdr:rowOff>
    </xdr:from>
    <xdr:to>
      <xdr:col>16</xdr:col>
      <xdr:colOff>63500</xdr:colOff>
      <xdr:row>24</xdr:row>
      <xdr:rowOff>0</xdr:rowOff>
    </xdr:to>
    <xdr:sp macro="" textlink="">
      <xdr:nvSpPr>
        <xdr:cNvPr id="115" name="nuNumber: 114" hidden="1">
          <a:extLst>
            <a:ext uri="{FF2B5EF4-FFF2-40B4-BE49-F238E27FC236}">
              <a16:creationId xmlns:a16="http://schemas.microsoft.com/office/drawing/2014/main" id="{08B0625F-C30C-4307-9381-963F6E5EE260}"/>
            </a:ext>
          </a:extLst>
        </xdr:cNvPr>
        <xdr:cNvSpPr/>
      </xdr:nvSpPr>
      <xdr:spPr bwMode="auto">
        <a:xfrm>
          <a:off x="12106275" y="50342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23</xdr:row>
      <xdr:rowOff>119380</xdr:rowOff>
    </xdr:from>
    <xdr:to>
      <xdr:col>17</xdr:col>
      <xdr:colOff>63500</xdr:colOff>
      <xdr:row>24</xdr:row>
      <xdr:rowOff>0</xdr:rowOff>
    </xdr:to>
    <xdr:sp macro="" textlink="">
      <xdr:nvSpPr>
        <xdr:cNvPr id="116" name="nuNumber: 115" hidden="1">
          <a:extLst>
            <a:ext uri="{FF2B5EF4-FFF2-40B4-BE49-F238E27FC236}">
              <a16:creationId xmlns:a16="http://schemas.microsoft.com/office/drawing/2014/main" id="{96C58733-7035-4BB8-B415-73ACC61E4B28}"/>
            </a:ext>
          </a:extLst>
        </xdr:cNvPr>
        <xdr:cNvSpPr/>
      </xdr:nvSpPr>
      <xdr:spPr bwMode="auto">
        <a:xfrm>
          <a:off x="12887325" y="50342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23</xdr:row>
      <xdr:rowOff>119380</xdr:rowOff>
    </xdr:from>
    <xdr:to>
      <xdr:col>18</xdr:col>
      <xdr:colOff>63499</xdr:colOff>
      <xdr:row>24</xdr:row>
      <xdr:rowOff>0</xdr:rowOff>
    </xdr:to>
    <xdr:sp macro="" textlink="">
      <xdr:nvSpPr>
        <xdr:cNvPr id="117" name="nuNumber: 116" hidden="1">
          <a:extLst>
            <a:ext uri="{FF2B5EF4-FFF2-40B4-BE49-F238E27FC236}">
              <a16:creationId xmlns:a16="http://schemas.microsoft.com/office/drawing/2014/main" id="{AA697625-09C5-4A1F-9302-4907F31D4BE9}"/>
            </a:ext>
          </a:extLst>
        </xdr:cNvPr>
        <xdr:cNvSpPr/>
      </xdr:nvSpPr>
      <xdr:spPr bwMode="auto">
        <a:xfrm>
          <a:off x="13624559" y="503428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23</xdr:row>
      <xdr:rowOff>119380</xdr:rowOff>
    </xdr:from>
    <xdr:to>
      <xdr:col>19</xdr:col>
      <xdr:colOff>63500</xdr:colOff>
      <xdr:row>24</xdr:row>
      <xdr:rowOff>0</xdr:rowOff>
    </xdr:to>
    <xdr:sp macro="" textlink="">
      <xdr:nvSpPr>
        <xdr:cNvPr id="118" name="nuNumber: 117" hidden="1">
          <a:extLst>
            <a:ext uri="{FF2B5EF4-FFF2-40B4-BE49-F238E27FC236}">
              <a16:creationId xmlns:a16="http://schemas.microsoft.com/office/drawing/2014/main" id="{5D71B18C-7847-4847-BA15-B31B3DA046B0}"/>
            </a:ext>
          </a:extLst>
        </xdr:cNvPr>
        <xdr:cNvSpPr/>
      </xdr:nvSpPr>
      <xdr:spPr bwMode="auto">
        <a:xfrm>
          <a:off x="14382750" y="50342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23</xdr:row>
      <xdr:rowOff>119380</xdr:rowOff>
    </xdr:from>
    <xdr:to>
      <xdr:col>20</xdr:col>
      <xdr:colOff>63500</xdr:colOff>
      <xdr:row>24</xdr:row>
      <xdr:rowOff>0</xdr:rowOff>
    </xdr:to>
    <xdr:sp macro="" textlink="">
      <xdr:nvSpPr>
        <xdr:cNvPr id="119" name="nuNumber: 118" hidden="1">
          <a:extLst>
            <a:ext uri="{FF2B5EF4-FFF2-40B4-BE49-F238E27FC236}">
              <a16:creationId xmlns:a16="http://schemas.microsoft.com/office/drawing/2014/main" id="{7FA8A411-A753-4FB9-92DA-0E53240E83F4}"/>
            </a:ext>
          </a:extLst>
        </xdr:cNvPr>
        <xdr:cNvSpPr/>
      </xdr:nvSpPr>
      <xdr:spPr bwMode="auto">
        <a:xfrm>
          <a:off x="15135225" y="50342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23</xdr:row>
      <xdr:rowOff>119380</xdr:rowOff>
    </xdr:from>
    <xdr:to>
      <xdr:col>21</xdr:col>
      <xdr:colOff>63500</xdr:colOff>
      <xdr:row>24</xdr:row>
      <xdr:rowOff>0</xdr:rowOff>
    </xdr:to>
    <xdr:sp macro="" textlink="">
      <xdr:nvSpPr>
        <xdr:cNvPr id="120" name="nuNumber: 119" hidden="1">
          <a:extLst>
            <a:ext uri="{FF2B5EF4-FFF2-40B4-BE49-F238E27FC236}">
              <a16:creationId xmlns:a16="http://schemas.microsoft.com/office/drawing/2014/main" id="{2CB0B515-D826-4D94-BB16-DBC2FC73AFCD}"/>
            </a:ext>
          </a:extLst>
        </xdr:cNvPr>
        <xdr:cNvSpPr/>
      </xdr:nvSpPr>
      <xdr:spPr bwMode="auto">
        <a:xfrm>
          <a:off x="15849600" y="50342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24</xdr:row>
      <xdr:rowOff>119380</xdr:rowOff>
    </xdr:from>
    <xdr:to>
      <xdr:col>8</xdr:col>
      <xdr:colOff>63500</xdr:colOff>
      <xdr:row>25</xdr:row>
      <xdr:rowOff>0</xdr:rowOff>
    </xdr:to>
    <xdr:sp macro="" textlink="">
      <xdr:nvSpPr>
        <xdr:cNvPr id="121" name="nuNumber: 120" hidden="1">
          <a:extLst>
            <a:ext uri="{FF2B5EF4-FFF2-40B4-BE49-F238E27FC236}">
              <a16:creationId xmlns:a16="http://schemas.microsoft.com/office/drawing/2014/main" id="{301CE0C1-F257-4782-8C68-794AAE66EE3C}"/>
            </a:ext>
          </a:extLst>
        </xdr:cNvPr>
        <xdr:cNvSpPr/>
      </xdr:nvSpPr>
      <xdr:spPr bwMode="auto">
        <a:xfrm>
          <a:off x="5562600" y="5243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24</xdr:row>
      <xdr:rowOff>119380</xdr:rowOff>
    </xdr:from>
    <xdr:to>
      <xdr:col>9</xdr:col>
      <xdr:colOff>63500</xdr:colOff>
      <xdr:row>25</xdr:row>
      <xdr:rowOff>0</xdr:rowOff>
    </xdr:to>
    <xdr:sp macro="" textlink="">
      <xdr:nvSpPr>
        <xdr:cNvPr id="122" name="nuNumber: 121" hidden="1">
          <a:extLst>
            <a:ext uri="{FF2B5EF4-FFF2-40B4-BE49-F238E27FC236}">
              <a16:creationId xmlns:a16="http://schemas.microsoft.com/office/drawing/2014/main" id="{8AC23C52-1AE7-47CC-A5AA-357BC15CCA7D}"/>
            </a:ext>
          </a:extLst>
        </xdr:cNvPr>
        <xdr:cNvSpPr/>
      </xdr:nvSpPr>
      <xdr:spPr bwMode="auto">
        <a:xfrm>
          <a:off x="6467475" y="5243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24</xdr:row>
      <xdr:rowOff>119380</xdr:rowOff>
    </xdr:from>
    <xdr:to>
      <xdr:col>9</xdr:col>
      <xdr:colOff>63500</xdr:colOff>
      <xdr:row>25</xdr:row>
      <xdr:rowOff>0</xdr:rowOff>
    </xdr:to>
    <xdr:sp macro="" textlink="">
      <xdr:nvSpPr>
        <xdr:cNvPr id="123" name="nuNumber: 122" hidden="1">
          <a:extLst>
            <a:ext uri="{FF2B5EF4-FFF2-40B4-BE49-F238E27FC236}">
              <a16:creationId xmlns:a16="http://schemas.microsoft.com/office/drawing/2014/main" id="{34305F0E-D9E8-4C40-8D2B-A3A4FE94DC48}"/>
            </a:ext>
          </a:extLst>
        </xdr:cNvPr>
        <xdr:cNvSpPr/>
      </xdr:nvSpPr>
      <xdr:spPr bwMode="auto">
        <a:xfrm>
          <a:off x="6467475" y="5243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24</xdr:row>
      <xdr:rowOff>119380</xdr:rowOff>
    </xdr:from>
    <xdr:to>
      <xdr:col>10</xdr:col>
      <xdr:colOff>63500</xdr:colOff>
      <xdr:row>25</xdr:row>
      <xdr:rowOff>0</xdr:rowOff>
    </xdr:to>
    <xdr:sp macro="" textlink="">
      <xdr:nvSpPr>
        <xdr:cNvPr id="124" name="nuNumber: 123" hidden="1">
          <a:extLst>
            <a:ext uri="{FF2B5EF4-FFF2-40B4-BE49-F238E27FC236}">
              <a16:creationId xmlns:a16="http://schemas.microsoft.com/office/drawing/2014/main" id="{0DB46CFB-436C-4589-ACE8-1BCCE1A769AE}"/>
            </a:ext>
          </a:extLst>
        </xdr:cNvPr>
        <xdr:cNvSpPr/>
      </xdr:nvSpPr>
      <xdr:spPr bwMode="auto">
        <a:xfrm>
          <a:off x="7315200" y="5243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24</xdr:row>
      <xdr:rowOff>119380</xdr:rowOff>
    </xdr:from>
    <xdr:to>
      <xdr:col>11</xdr:col>
      <xdr:colOff>63500</xdr:colOff>
      <xdr:row>25</xdr:row>
      <xdr:rowOff>0</xdr:rowOff>
    </xdr:to>
    <xdr:sp macro="" textlink="">
      <xdr:nvSpPr>
        <xdr:cNvPr id="125" name="nuNumber: 124" hidden="1">
          <a:extLst>
            <a:ext uri="{FF2B5EF4-FFF2-40B4-BE49-F238E27FC236}">
              <a16:creationId xmlns:a16="http://schemas.microsoft.com/office/drawing/2014/main" id="{80AE4489-332D-4450-B9DC-E704515D6ABD}"/>
            </a:ext>
          </a:extLst>
        </xdr:cNvPr>
        <xdr:cNvSpPr/>
      </xdr:nvSpPr>
      <xdr:spPr bwMode="auto">
        <a:xfrm>
          <a:off x="8105775" y="5243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24</xdr:row>
      <xdr:rowOff>119380</xdr:rowOff>
    </xdr:from>
    <xdr:to>
      <xdr:col>12</xdr:col>
      <xdr:colOff>63500</xdr:colOff>
      <xdr:row>25</xdr:row>
      <xdr:rowOff>0</xdr:rowOff>
    </xdr:to>
    <xdr:sp macro="" textlink="">
      <xdr:nvSpPr>
        <xdr:cNvPr id="126" name="nuNumber: 125" hidden="1">
          <a:extLst>
            <a:ext uri="{FF2B5EF4-FFF2-40B4-BE49-F238E27FC236}">
              <a16:creationId xmlns:a16="http://schemas.microsoft.com/office/drawing/2014/main" id="{745F1C83-CE0C-4CEF-8400-785D35E210A5}"/>
            </a:ext>
          </a:extLst>
        </xdr:cNvPr>
        <xdr:cNvSpPr/>
      </xdr:nvSpPr>
      <xdr:spPr bwMode="auto">
        <a:xfrm>
          <a:off x="8972550" y="5243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24</xdr:row>
      <xdr:rowOff>119380</xdr:rowOff>
    </xdr:from>
    <xdr:to>
      <xdr:col>13</xdr:col>
      <xdr:colOff>63500</xdr:colOff>
      <xdr:row>25</xdr:row>
      <xdr:rowOff>0</xdr:rowOff>
    </xdr:to>
    <xdr:sp macro="" textlink="">
      <xdr:nvSpPr>
        <xdr:cNvPr id="127" name="nuNumber: 126" hidden="1">
          <a:extLst>
            <a:ext uri="{FF2B5EF4-FFF2-40B4-BE49-F238E27FC236}">
              <a16:creationId xmlns:a16="http://schemas.microsoft.com/office/drawing/2014/main" id="{D29B2FD7-CC60-403D-8B8C-FA82A8209464}"/>
            </a:ext>
          </a:extLst>
        </xdr:cNvPr>
        <xdr:cNvSpPr/>
      </xdr:nvSpPr>
      <xdr:spPr bwMode="auto">
        <a:xfrm>
          <a:off x="9753600" y="5243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24</xdr:row>
      <xdr:rowOff>119380</xdr:rowOff>
    </xdr:from>
    <xdr:to>
      <xdr:col>14</xdr:col>
      <xdr:colOff>63500</xdr:colOff>
      <xdr:row>25</xdr:row>
      <xdr:rowOff>0</xdr:rowOff>
    </xdr:to>
    <xdr:sp macro="" textlink="">
      <xdr:nvSpPr>
        <xdr:cNvPr id="128" name="nuNumber: 127" hidden="1">
          <a:extLst>
            <a:ext uri="{FF2B5EF4-FFF2-40B4-BE49-F238E27FC236}">
              <a16:creationId xmlns:a16="http://schemas.microsoft.com/office/drawing/2014/main" id="{E335DEDA-5C3A-4D06-AA15-45320C318186}"/>
            </a:ext>
          </a:extLst>
        </xdr:cNvPr>
        <xdr:cNvSpPr/>
      </xdr:nvSpPr>
      <xdr:spPr bwMode="auto">
        <a:xfrm>
          <a:off x="10515600" y="5243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24</xdr:row>
      <xdr:rowOff>119380</xdr:rowOff>
    </xdr:from>
    <xdr:to>
      <xdr:col>15</xdr:col>
      <xdr:colOff>63500</xdr:colOff>
      <xdr:row>25</xdr:row>
      <xdr:rowOff>0</xdr:rowOff>
    </xdr:to>
    <xdr:sp macro="" textlink="">
      <xdr:nvSpPr>
        <xdr:cNvPr id="129" name="nuNumber: 128" hidden="1">
          <a:extLst>
            <a:ext uri="{FF2B5EF4-FFF2-40B4-BE49-F238E27FC236}">
              <a16:creationId xmlns:a16="http://schemas.microsoft.com/office/drawing/2014/main" id="{54D73BB8-2909-41C7-9C75-E13C4CA5AC96}"/>
            </a:ext>
          </a:extLst>
        </xdr:cNvPr>
        <xdr:cNvSpPr/>
      </xdr:nvSpPr>
      <xdr:spPr bwMode="auto">
        <a:xfrm>
          <a:off x="11325225" y="5243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24</xdr:row>
      <xdr:rowOff>119380</xdr:rowOff>
    </xdr:from>
    <xdr:to>
      <xdr:col>16</xdr:col>
      <xdr:colOff>63500</xdr:colOff>
      <xdr:row>25</xdr:row>
      <xdr:rowOff>0</xdr:rowOff>
    </xdr:to>
    <xdr:sp macro="" textlink="">
      <xdr:nvSpPr>
        <xdr:cNvPr id="130" name="nuNumber: 129" hidden="1">
          <a:extLst>
            <a:ext uri="{FF2B5EF4-FFF2-40B4-BE49-F238E27FC236}">
              <a16:creationId xmlns:a16="http://schemas.microsoft.com/office/drawing/2014/main" id="{8ED213A2-7AAA-40E2-861F-149C72F9783D}"/>
            </a:ext>
          </a:extLst>
        </xdr:cNvPr>
        <xdr:cNvSpPr/>
      </xdr:nvSpPr>
      <xdr:spPr bwMode="auto">
        <a:xfrm>
          <a:off x="12106275" y="5243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24</xdr:row>
      <xdr:rowOff>119380</xdr:rowOff>
    </xdr:from>
    <xdr:to>
      <xdr:col>17</xdr:col>
      <xdr:colOff>63500</xdr:colOff>
      <xdr:row>25</xdr:row>
      <xdr:rowOff>0</xdr:rowOff>
    </xdr:to>
    <xdr:sp macro="" textlink="">
      <xdr:nvSpPr>
        <xdr:cNvPr id="131" name="nuNumber: 130" hidden="1">
          <a:extLst>
            <a:ext uri="{FF2B5EF4-FFF2-40B4-BE49-F238E27FC236}">
              <a16:creationId xmlns:a16="http://schemas.microsoft.com/office/drawing/2014/main" id="{1E51A376-2B3C-453D-AA82-73BF0333564A}"/>
            </a:ext>
          </a:extLst>
        </xdr:cNvPr>
        <xdr:cNvSpPr/>
      </xdr:nvSpPr>
      <xdr:spPr bwMode="auto">
        <a:xfrm>
          <a:off x="12887325" y="5243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24</xdr:row>
      <xdr:rowOff>119380</xdr:rowOff>
    </xdr:from>
    <xdr:to>
      <xdr:col>18</xdr:col>
      <xdr:colOff>63499</xdr:colOff>
      <xdr:row>25</xdr:row>
      <xdr:rowOff>0</xdr:rowOff>
    </xdr:to>
    <xdr:sp macro="" textlink="">
      <xdr:nvSpPr>
        <xdr:cNvPr id="132" name="nuNumber: 131" hidden="1">
          <a:extLst>
            <a:ext uri="{FF2B5EF4-FFF2-40B4-BE49-F238E27FC236}">
              <a16:creationId xmlns:a16="http://schemas.microsoft.com/office/drawing/2014/main" id="{AF05118D-8FAA-489D-8B0D-2CAB69707D7D}"/>
            </a:ext>
          </a:extLst>
        </xdr:cNvPr>
        <xdr:cNvSpPr/>
      </xdr:nvSpPr>
      <xdr:spPr bwMode="auto">
        <a:xfrm>
          <a:off x="13624559" y="524383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24</xdr:row>
      <xdr:rowOff>119380</xdr:rowOff>
    </xdr:from>
    <xdr:to>
      <xdr:col>19</xdr:col>
      <xdr:colOff>63500</xdr:colOff>
      <xdr:row>25</xdr:row>
      <xdr:rowOff>0</xdr:rowOff>
    </xdr:to>
    <xdr:sp macro="" textlink="">
      <xdr:nvSpPr>
        <xdr:cNvPr id="133" name="nuNumber: 132" hidden="1">
          <a:extLst>
            <a:ext uri="{FF2B5EF4-FFF2-40B4-BE49-F238E27FC236}">
              <a16:creationId xmlns:a16="http://schemas.microsoft.com/office/drawing/2014/main" id="{F1DAB62A-B820-427C-A31A-3B9EF51AB24C}"/>
            </a:ext>
          </a:extLst>
        </xdr:cNvPr>
        <xdr:cNvSpPr/>
      </xdr:nvSpPr>
      <xdr:spPr bwMode="auto">
        <a:xfrm>
          <a:off x="14382750" y="5243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24</xdr:row>
      <xdr:rowOff>119380</xdr:rowOff>
    </xdr:from>
    <xdr:to>
      <xdr:col>20</xdr:col>
      <xdr:colOff>63500</xdr:colOff>
      <xdr:row>25</xdr:row>
      <xdr:rowOff>0</xdr:rowOff>
    </xdr:to>
    <xdr:sp macro="" textlink="">
      <xdr:nvSpPr>
        <xdr:cNvPr id="134" name="nuNumber: 133" hidden="1">
          <a:extLst>
            <a:ext uri="{FF2B5EF4-FFF2-40B4-BE49-F238E27FC236}">
              <a16:creationId xmlns:a16="http://schemas.microsoft.com/office/drawing/2014/main" id="{54A3FB0A-58F2-4616-933E-D565D26D2455}"/>
            </a:ext>
          </a:extLst>
        </xdr:cNvPr>
        <xdr:cNvSpPr/>
      </xdr:nvSpPr>
      <xdr:spPr bwMode="auto">
        <a:xfrm>
          <a:off x="15135225" y="5243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24</xdr:row>
      <xdr:rowOff>119380</xdr:rowOff>
    </xdr:from>
    <xdr:to>
      <xdr:col>21</xdr:col>
      <xdr:colOff>63500</xdr:colOff>
      <xdr:row>25</xdr:row>
      <xdr:rowOff>0</xdr:rowOff>
    </xdr:to>
    <xdr:sp macro="" textlink="">
      <xdr:nvSpPr>
        <xdr:cNvPr id="135" name="nuNumber: 134" hidden="1">
          <a:extLst>
            <a:ext uri="{FF2B5EF4-FFF2-40B4-BE49-F238E27FC236}">
              <a16:creationId xmlns:a16="http://schemas.microsoft.com/office/drawing/2014/main" id="{BA12E44D-464D-4EE1-982C-AB2B03CC4366}"/>
            </a:ext>
          </a:extLst>
        </xdr:cNvPr>
        <xdr:cNvSpPr/>
      </xdr:nvSpPr>
      <xdr:spPr bwMode="auto">
        <a:xfrm>
          <a:off x="15849600" y="5243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27</xdr:row>
      <xdr:rowOff>119380</xdr:rowOff>
    </xdr:from>
    <xdr:to>
      <xdr:col>8</xdr:col>
      <xdr:colOff>63500</xdr:colOff>
      <xdr:row>28</xdr:row>
      <xdr:rowOff>0</xdr:rowOff>
    </xdr:to>
    <xdr:sp macro="" textlink="">
      <xdr:nvSpPr>
        <xdr:cNvPr id="136" name="nuNumber: 135" hidden="1">
          <a:extLst>
            <a:ext uri="{FF2B5EF4-FFF2-40B4-BE49-F238E27FC236}">
              <a16:creationId xmlns:a16="http://schemas.microsoft.com/office/drawing/2014/main" id="{A902A688-36E2-4581-8A11-82A6DA296350}"/>
            </a:ext>
          </a:extLst>
        </xdr:cNvPr>
        <xdr:cNvSpPr/>
      </xdr:nvSpPr>
      <xdr:spPr bwMode="auto">
        <a:xfrm>
          <a:off x="5562600" y="5872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27</xdr:row>
      <xdr:rowOff>119380</xdr:rowOff>
    </xdr:from>
    <xdr:to>
      <xdr:col>9</xdr:col>
      <xdr:colOff>63500</xdr:colOff>
      <xdr:row>28</xdr:row>
      <xdr:rowOff>0</xdr:rowOff>
    </xdr:to>
    <xdr:sp macro="" textlink="">
      <xdr:nvSpPr>
        <xdr:cNvPr id="137" name="nuNumber: 136" hidden="1">
          <a:extLst>
            <a:ext uri="{FF2B5EF4-FFF2-40B4-BE49-F238E27FC236}">
              <a16:creationId xmlns:a16="http://schemas.microsoft.com/office/drawing/2014/main" id="{3F0F6421-66E5-4797-951D-B9368BAD2E2A}"/>
            </a:ext>
          </a:extLst>
        </xdr:cNvPr>
        <xdr:cNvSpPr/>
      </xdr:nvSpPr>
      <xdr:spPr bwMode="auto">
        <a:xfrm>
          <a:off x="6467475" y="5872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27</xdr:row>
      <xdr:rowOff>119380</xdr:rowOff>
    </xdr:from>
    <xdr:to>
      <xdr:col>10</xdr:col>
      <xdr:colOff>63500</xdr:colOff>
      <xdr:row>28</xdr:row>
      <xdr:rowOff>0</xdr:rowOff>
    </xdr:to>
    <xdr:sp macro="" textlink="">
      <xdr:nvSpPr>
        <xdr:cNvPr id="138" name="nuNumber: 137" hidden="1">
          <a:extLst>
            <a:ext uri="{FF2B5EF4-FFF2-40B4-BE49-F238E27FC236}">
              <a16:creationId xmlns:a16="http://schemas.microsoft.com/office/drawing/2014/main" id="{6EF5FE19-C62A-4419-B0DD-789DFD8545C9}"/>
            </a:ext>
          </a:extLst>
        </xdr:cNvPr>
        <xdr:cNvSpPr/>
      </xdr:nvSpPr>
      <xdr:spPr bwMode="auto">
        <a:xfrm>
          <a:off x="7315200" y="5872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27</xdr:row>
      <xdr:rowOff>119380</xdr:rowOff>
    </xdr:from>
    <xdr:to>
      <xdr:col>11</xdr:col>
      <xdr:colOff>63500</xdr:colOff>
      <xdr:row>28</xdr:row>
      <xdr:rowOff>0</xdr:rowOff>
    </xdr:to>
    <xdr:sp macro="" textlink="">
      <xdr:nvSpPr>
        <xdr:cNvPr id="139" name="nuNumber: 138" hidden="1">
          <a:extLst>
            <a:ext uri="{FF2B5EF4-FFF2-40B4-BE49-F238E27FC236}">
              <a16:creationId xmlns:a16="http://schemas.microsoft.com/office/drawing/2014/main" id="{02E9796C-A6CA-4E5F-A6E4-0CC1B6849C9F}"/>
            </a:ext>
          </a:extLst>
        </xdr:cNvPr>
        <xdr:cNvSpPr/>
      </xdr:nvSpPr>
      <xdr:spPr bwMode="auto">
        <a:xfrm>
          <a:off x="8105775" y="5872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27</xdr:row>
      <xdr:rowOff>119380</xdr:rowOff>
    </xdr:from>
    <xdr:to>
      <xdr:col>12</xdr:col>
      <xdr:colOff>63500</xdr:colOff>
      <xdr:row>28</xdr:row>
      <xdr:rowOff>0</xdr:rowOff>
    </xdr:to>
    <xdr:sp macro="" textlink="">
      <xdr:nvSpPr>
        <xdr:cNvPr id="140" name="nuNumber: 139" hidden="1">
          <a:extLst>
            <a:ext uri="{FF2B5EF4-FFF2-40B4-BE49-F238E27FC236}">
              <a16:creationId xmlns:a16="http://schemas.microsoft.com/office/drawing/2014/main" id="{429AC470-D199-4565-A0DA-63C8702AEE89}"/>
            </a:ext>
          </a:extLst>
        </xdr:cNvPr>
        <xdr:cNvSpPr/>
      </xdr:nvSpPr>
      <xdr:spPr bwMode="auto">
        <a:xfrm>
          <a:off x="8972550" y="5872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27</xdr:row>
      <xdr:rowOff>119380</xdr:rowOff>
    </xdr:from>
    <xdr:to>
      <xdr:col>13</xdr:col>
      <xdr:colOff>63500</xdr:colOff>
      <xdr:row>28</xdr:row>
      <xdr:rowOff>0</xdr:rowOff>
    </xdr:to>
    <xdr:sp macro="" textlink="">
      <xdr:nvSpPr>
        <xdr:cNvPr id="141" name="nuNumber: 140" hidden="1">
          <a:extLst>
            <a:ext uri="{FF2B5EF4-FFF2-40B4-BE49-F238E27FC236}">
              <a16:creationId xmlns:a16="http://schemas.microsoft.com/office/drawing/2014/main" id="{137B0769-66AD-4ED9-A9E5-4A7D8A346B81}"/>
            </a:ext>
          </a:extLst>
        </xdr:cNvPr>
        <xdr:cNvSpPr/>
      </xdr:nvSpPr>
      <xdr:spPr bwMode="auto">
        <a:xfrm>
          <a:off x="9753600" y="5872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27</xdr:row>
      <xdr:rowOff>119380</xdr:rowOff>
    </xdr:from>
    <xdr:to>
      <xdr:col>14</xdr:col>
      <xdr:colOff>63500</xdr:colOff>
      <xdr:row>28</xdr:row>
      <xdr:rowOff>0</xdr:rowOff>
    </xdr:to>
    <xdr:sp macro="" textlink="">
      <xdr:nvSpPr>
        <xdr:cNvPr id="142" name="nuNumber: 141" hidden="1">
          <a:extLst>
            <a:ext uri="{FF2B5EF4-FFF2-40B4-BE49-F238E27FC236}">
              <a16:creationId xmlns:a16="http://schemas.microsoft.com/office/drawing/2014/main" id="{3CAD778C-318A-4A02-8DB0-F1DD30A1488C}"/>
            </a:ext>
          </a:extLst>
        </xdr:cNvPr>
        <xdr:cNvSpPr/>
      </xdr:nvSpPr>
      <xdr:spPr bwMode="auto">
        <a:xfrm>
          <a:off x="10515600" y="5872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27</xdr:row>
      <xdr:rowOff>119380</xdr:rowOff>
    </xdr:from>
    <xdr:to>
      <xdr:col>15</xdr:col>
      <xdr:colOff>63500</xdr:colOff>
      <xdr:row>28</xdr:row>
      <xdr:rowOff>0</xdr:rowOff>
    </xdr:to>
    <xdr:sp macro="" textlink="">
      <xdr:nvSpPr>
        <xdr:cNvPr id="143" name="nuNumber: 142" hidden="1">
          <a:extLst>
            <a:ext uri="{FF2B5EF4-FFF2-40B4-BE49-F238E27FC236}">
              <a16:creationId xmlns:a16="http://schemas.microsoft.com/office/drawing/2014/main" id="{9E177934-9571-4772-A160-9F4D24645EEF}"/>
            </a:ext>
          </a:extLst>
        </xdr:cNvPr>
        <xdr:cNvSpPr/>
      </xdr:nvSpPr>
      <xdr:spPr bwMode="auto">
        <a:xfrm>
          <a:off x="11325225" y="5872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27</xdr:row>
      <xdr:rowOff>119380</xdr:rowOff>
    </xdr:from>
    <xdr:to>
      <xdr:col>16</xdr:col>
      <xdr:colOff>63500</xdr:colOff>
      <xdr:row>28</xdr:row>
      <xdr:rowOff>0</xdr:rowOff>
    </xdr:to>
    <xdr:sp macro="" textlink="">
      <xdr:nvSpPr>
        <xdr:cNvPr id="144" name="nuNumber: 143" hidden="1">
          <a:extLst>
            <a:ext uri="{FF2B5EF4-FFF2-40B4-BE49-F238E27FC236}">
              <a16:creationId xmlns:a16="http://schemas.microsoft.com/office/drawing/2014/main" id="{74EA169D-3259-40EF-A1B8-A5451F8E424E}"/>
            </a:ext>
          </a:extLst>
        </xdr:cNvPr>
        <xdr:cNvSpPr/>
      </xdr:nvSpPr>
      <xdr:spPr bwMode="auto">
        <a:xfrm>
          <a:off x="12106275" y="5872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27</xdr:row>
      <xdr:rowOff>119380</xdr:rowOff>
    </xdr:from>
    <xdr:to>
      <xdr:col>17</xdr:col>
      <xdr:colOff>63500</xdr:colOff>
      <xdr:row>28</xdr:row>
      <xdr:rowOff>0</xdr:rowOff>
    </xdr:to>
    <xdr:sp macro="" textlink="">
      <xdr:nvSpPr>
        <xdr:cNvPr id="145" name="nuNumber: 144" hidden="1">
          <a:extLst>
            <a:ext uri="{FF2B5EF4-FFF2-40B4-BE49-F238E27FC236}">
              <a16:creationId xmlns:a16="http://schemas.microsoft.com/office/drawing/2014/main" id="{C7EB4BAF-8FDA-40FC-9FEF-6E252B55EC26}"/>
            </a:ext>
          </a:extLst>
        </xdr:cNvPr>
        <xdr:cNvSpPr/>
      </xdr:nvSpPr>
      <xdr:spPr bwMode="auto">
        <a:xfrm>
          <a:off x="12887325" y="5872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27</xdr:row>
      <xdr:rowOff>119380</xdr:rowOff>
    </xdr:from>
    <xdr:to>
      <xdr:col>18</xdr:col>
      <xdr:colOff>63499</xdr:colOff>
      <xdr:row>28</xdr:row>
      <xdr:rowOff>0</xdr:rowOff>
    </xdr:to>
    <xdr:sp macro="" textlink="">
      <xdr:nvSpPr>
        <xdr:cNvPr id="146" name="nuNumber: 145" hidden="1">
          <a:extLst>
            <a:ext uri="{FF2B5EF4-FFF2-40B4-BE49-F238E27FC236}">
              <a16:creationId xmlns:a16="http://schemas.microsoft.com/office/drawing/2014/main" id="{AB8DEB5B-1CB6-4CCC-8F00-A313746C47D1}"/>
            </a:ext>
          </a:extLst>
        </xdr:cNvPr>
        <xdr:cNvSpPr/>
      </xdr:nvSpPr>
      <xdr:spPr bwMode="auto">
        <a:xfrm>
          <a:off x="13624559" y="587248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27</xdr:row>
      <xdr:rowOff>119380</xdr:rowOff>
    </xdr:from>
    <xdr:to>
      <xdr:col>19</xdr:col>
      <xdr:colOff>63500</xdr:colOff>
      <xdr:row>28</xdr:row>
      <xdr:rowOff>0</xdr:rowOff>
    </xdr:to>
    <xdr:sp macro="" textlink="">
      <xdr:nvSpPr>
        <xdr:cNvPr id="147" name="nuNumber: 146" hidden="1">
          <a:extLst>
            <a:ext uri="{FF2B5EF4-FFF2-40B4-BE49-F238E27FC236}">
              <a16:creationId xmlns:a16="http://schemas.microsoft.com/office/drawing/2014/main" id="{D8998CA5-0F2F-4377-982D-443D6B040C5C}"/>
            </a:ext>
          </a:extLst>
        </xdr:cNvPr>
        <xdr:cNvSpPr/>
      </xdr:nvSpPr>
      <xdr:spPr bwMode="auto">
        <a:xfrm>
          <a:off x="14382750" y="5872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27</xdr:row>
      <xdr:rowOff>119380</xdr:rowOff>
    </xdr:from>
    <xdr:to>
      <xdr:col>20</xdr:col>
      <xdr:colOff>63500</xdr:colOff>
      <xdr:row>28</xdr:row>
      <xdr:rowOff>0</xdr:rowOff>
    </xdr:to>
    <xdr:sp macro="" textlink="">
      <xdr:nvSpPr>
        <xdr:cNvPr id="148" name="nuNumber: 147" hidden="1">
          <a:extLst>
            <a:ext uri="{FF2B5EF4-FFF2-40B4-BE49-F238E27FC236}">
              <a16:creationId xmlns:a16="http://schemas.microsoft.com/office/drawing/2014/main" id="{AFB49936-C879-4AE8-84A0-E7BFDAEE417A}"/>
            </a:ext>
          </a:extLst>
        </xdr:cNvPr>
        <xdr:cNvSpPr/>
      </xdr:nvSpPr>
      <xdr:spPr bwMode="auto">
        <a:xfrm>
          <a:off x="15135225" y="5872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27</xdr:row>
      <xdr:rowOff>119380</xdr:rowOff>
    </xdr:from>
    <xdr:to>
      <xdr:col>21</xdr:col>
      <xdr:colOff>63500</xdr:colOff>
      <xdr:row>28</xdr:row>
      <xdr:rowOff>0</xdr:rowOff>
    </xdr:to>
    <xdr:sp macro="" textlink="">
      <xdr:nvSpPr>
        <xdr:cNvPr id="149" name="nuNumber: 148" hidden="1">
          <a:extLst>
            <a:ext uri="{FF2B5EF4-FFF2-40B4-BE49-F238E27FC236}">
              <a16:creationId xmlns:a16="http://schemas.microsoft.com/office/drawing/2014/main" id="{C55C01F4-F685-4459-BD65-2A4A30CBFBD6}"/>
            </a:ext>
          </a:extLst>
        </xdr:cNvPr>
        <xdr:cNvSpPr/>
      </xdr:nvSpPr>
      <xdr:spPr bwMode="auto">
        <a:xfrm>
          <a:off x="15849600" y="5872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28</xdr:row>
      <xdr:rowOff>119380</xdr:rowOff>
    </xdr:from>
    <xdr:to>
      <xdr:col>10</xdr:col>
      <xdr:colOff>63500</xdr:colOff>
      <xdr:row>29</xdr:row>
      <xdr:rowOff>0</xdr:rowOff>
    </xdr:to>
    <xdr:sp macro="" textlink="">
      <xdr:nvSpPr>
        <xdr:cNvPr id="150" name="nuNumber: 149" hidden="1">
          <a:extLst>
            <a:ext uri="{FF2B5EF4-FFF2-40B4-BE49-F238E27FC236}">
              <a16:creationId xmlns:a16="http://schemas.microsoft.com/office/drawing/2014/main" id="{8BA77057-84ED-40AE-978D-E894E0AE3F78}"/>
            </a:ext>
          </a:extLst>
        </xdr:cNvPr>
        <xdr:cNvSpPr/>
      </xdr:nvSpPr>
      <xdr:spPr bwMode="auto">
        <a:xfrm>
          <a:off x="7315200" y="60820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28</xdr:row>
      <xdr:rowOff>119380</xdr:rowOff>
    </xdr:from>
    <xdr:to>
      <xdr:col>11</xdr:col>
      <xdr:colOff>63500</xdr:colOff>
      <xdr:row>29</xdr:row>
      <xdr:rowOff>0</xdr:rowOff>
    </xdr:to>
    <xdr:sp macro="" textlink="">
      <xdr:nvSpPr>
        <xdr:cNvPr id="151" name="nuNumber: 150" hidden="1">
          <a:extLst>
            <a:ext uri="{FF2B5EF4-FFF2-40B4-BE49-F238E27FC236}">
              <a16:creationId xmlns:a16="http://schemas.microsoft.com/office/drawing/2014/main" id="{1A699DBF-F0F6-4F6B-B841-DC585CDA5689}"/>
            </a:ext>
          </a:extLst>
        </xdr:cNvPr>
        <xdr:cNvSpPr/>
      </xdr:nvSpPr>
      <xdr:spPr bwMode="auto">
        <a:xfrm>
          <a:off x="8105775" y="60820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28</xdr:row>
      <xdr:rowOff>119380</xdr:rowOff>
    </xdr:from>
    <xdr:to>
      <xdr:col>12</xdr:col>
      <xdr:colOff>63500</xdr:colOff>
      <xdr:row>29</xdr:row>
      <xdr:rowOff>0</xdr:rowOff>
    </xdr:to>
    <xdr:sp macro="" textlink="">
      <xdr:nvSpPr>
        <xdr:cNvPr id="152" name="nuNumber: 151" hidden="1">
          <a:extLst>
            <a:ext uri="{FF2B5EF4-FFF2-40B4-BE49-F238E27FC236}">
              <a16:creationId xmlns:a16="http://schemas.microsoft.com/office/drawing/2014/main" id="{8DB5DCD4-AC5B-4C20-92CB-C8CAB90967A9}"/>
            </a:ext>
          </a:extLst>
        </xdr:cNvPr>
        <xdr:cNvSpPr/>
      </xdr:nvSpPr>
      <xdr:spPr bwMode="auto">
        <a:xfrm>
          <a:off x="8972550" y="60820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28</xdr:row>
      <xdr:rowOff>119380</xdr:rowOff>
    </xdr:from>
    <xdr:to>
      <xdr:col>13</xdr:col>
      <xdr:colOff>63500</xdr:colOff>
      <xdr:row>29</xdr:row>
      <xdr:rowOff>0</xdr:rowOff>
    </xdr:to>
    <xdr:sp macro="" textlink="">
      <xdr:nvSpPr>
        <xdr:cNvPr id="153" name="nuNumber: 152" hidden="1">
          <a:extLst>
            <a:ext uri="{FF2B5EF4-FFF2-40B4-BE49-F238E27FC236}">
              <a16:creationId xmlns:a16="http://schemas.microsoft.com/office/drawing/2014/main" id="{9DCDC960-904D-4458-89B7-C4A7AE41FAD4}"/>
            </a:ext>
          </a:extLst>
        </xdr:cNvPr>
        <xdr:cNvSpPr/>
      </xdr:nvSpPr>
      <xdr:spPr bwMode="auto">
        <a:xfrm>
          <a:off x="9753600" y="60820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28</xdr:row>
      <xdr:rowOff>119380</xdr:rowOff>
    </xdr:from>
    <xdr:to>
      <xdr:col>14</xdr:col>
      <xdr:colOff>63500</xdr:colOff>
      <xdr:row>29</xdr:row>
      <xdr:rowOff>0</xdr:rowOff>
    </xdr:to>
    <xdr:sp macro="" textlink="">
      <xdr:nvSpPr>
        <xdr:cNvPr id="154" name="nuNumber: 153" hidden="1">
          <a:extLst>
            <a:ext uri="{FF2B5EF4-FFF2-40B4-BE49-F238E27FC236}">
              <a16:creationId xmlns:a16="http://schemas.microsoft.com/office/drawing/2014/main" id="{B85DC6B3-C2CC-45A0-8BCD-AABE473845CA}"/>
            </a:ext>
          </a:extLst>
        </xdr:cNvPr>
        <xdr:cNvSpPr/>
      </xdr:nvSpPr>
      <xdr:spPr bwMode="auto">
        <a:xfrm>
          <a:off x="10515600" y="60820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28</xdr:row>
      <xdr:rowOff>119380</xdr:rowOff>
    </xdr:from>
    <xdr:to>
      <xdr:col>15</xdr:col>
      <xdr:colOff>63500</xdr:colOff>
      <xdr:row>29</xdr:row>
      <xdr:rowOff>0</xdr:rowOff>
    </xdr:to>
    <xdr:sp macro="" textlink="">
      <xdr:nvSpPr>
        <xdr:cNvPr id="155" name="nuNumber: 154" hidden="1">
          <a:extLst>
            <a:ext uri="{FF2B5EF4-FFF2-40B4-BE49-F238E27FC236}">
              <a16:creationId xmlns:a16="http://schemas.microsoft.com/office/drawing/2014/main" id="{CC2A6425-E757-440D-B564-9F18F7816555}"/>
            </a:ext>
          </a:extLst>
        </xdr:cNvPr>
        <xdr:cNvSpPr/>
      </xdr:nvSpPr>
      <xdr:spPr bwMode="auto">
        <a:xfrm>
          <a:off x="11325225" y="60820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28</xdr:row>
      <xdr:rowOff>119380</xdr:rowOff>
    </xdr:from>
    <xdr:to>
      <xdr:col>16</xdr:col>
      <xdr:colOff>63500</xdr:colOff>
      <xdr:row>29</xdr:row>
      <xdr:rowOff>0</xdr:rowOff>
    </xdr:to>
    <xdr:sp macro="" textlink="">
      <xdr:nvSpPr>
        <xdr:cNvPr id="156" name="nuNumber: 155" hidden="1">
          <a:extLst>
            <a:ext uri="{FF2B5EF4-FFF2-40B4-BE49-F238E27FC236}">
              <a16:creationId xmlns:a16="http://schemas.microsoft.com/office/drawing/2014/main" id="{DB55F31D-0EE0-4CD6-8BF2-70D3AABADE94}"/>
            </a:ext>
          </a:extLst>
        </xdr:cNvPr>
        <xdr:cNvSpPr/>
      </xdr:nvSpPr>
      <xdr:spPr bwMode="auto">
        <a:xfrm>
          <a:off x="12106275" y="60820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28</xdr:row>
      <xdr:rowOff>119380</xdr:rowOff>
    </xdr:from>
    <xdr:to>
      <xdr:col>17</xdr:col>
      <xdr:colOff>63500</xdr:colOff>
      <xdr:row>29</xdr:row>
      <xdr:rowOff>0</xdr:rowOff>
    </xdr:to>
    <xdr:sp macro="" textlink="">
      <xdr:nvSpPr>
        <xdr:cNvPr id="157" name="nuNumber: 156" hidden="1">
          <a:extLst>
            <a:ext uri="{FF2B5EF4-FFF2-40B4-BE49-F238E27FC236}">
              <a16:creationId xmlns:a16="http://schemas.microsoft.com/office/drawing/2014/main" id="{A0DFCCE0-CDE6-4780-8923-3A966FBDE7AF}"/>
            </a:ext>
          </a:extLst>
        </xdr:cNvPr>
        <xdr:cNvSpPr/>
      </xdr:nvSpPr>
      <xdr:spPr bwMode="auto">
        <a:xfrm>
          <a:off x="12887325" y="60820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28</xdr:row>
      <xdr:rowOff>119380</xdr:rowOff>
    </xdr:from>
    <xdr:to>
      <xdr:col>18</xdr:col>
      <xdr:colOff>63499</xdr:colOff>
      <xdr:row>29</xdr:row>
      <xdr:rowOff>0</xdr:rowOff>
    </xdr:to>
    <xdr:sp macro="" textlink="">
      <xdr:nvSpPr>
        <xdr:cNvPr id="158" name="nuNumber: 157" hidden="1">
          <a:extLst>
            <a:ext uri="{FF2B5EF4-FFF2-40B4-BE49-F238E27FC236}">
              <a16:creationId xmlns:a16="http://schemas.microsoft.com/office/drawing/2014/main" id="{F1B41CC7-CFC7-4538-B9FA-48192B600C5D}"/>
            </a:ext>
          </a:extLst>
        </xdr:cNvPr>
        <xdr:cNvSpPr/>
      </xdr:nvSpPr>
      <xdr:spPr bwMode="auto">
        <a:xfrm>
          <a:off x="13624559" y="608203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28</xdr:row>
      <xdr:rowOff>119380</xdr:rowOff>
    </xdr:from>
    <xdr:to>
      <xdr:col>19</xdr:col>
      <xdr:colOff>63500</xdr:colOff>
      <xdr:row>29</xdr:row>
      <xdr:rowOff>0</xdr:rowOff>
    </xdr:to>
    <xdr:sp macro="" textlink="">
      <xdr:nvSpPr>
        <xdr:cNvPr id="159" name="nuNumber: 158" hidden="1">
          <a:extLst>
            <a:ext uri="{FF2B5EF4-FFF2-40B4-BE49-F238E27FC236}">
              <a16:creationId xmlns:a16="http://schemas.microsoft.com/office/drawing/2014/main" id="{4BF09388-1C13-4155-A1CE-5FB13F3F8A70}"/>
            </a:ext>
          </a:extLst>
        </xdr:cNvPr>
        <xdr:cNvSpPr/>
      </xdr:nvSpPr>
      <xdr:spPr bwMode="auto">
        <a:xfrm>
          <a:off x="14382750" y="60820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28</xdr:row>
      <xdr:rowOff>119380</xdr:rowOff>
    </xdr:from>
    <xdr:to>
      <xdr:col>20</xdr:col>
      <xdr:colOff>63500</xdr:colOff>
      <xdr:row>29</xdr:row>
      <xdr:rowOff>0</xdr:rowOff>
    </xdr:to>
    <xdr:sp macro="" textlink="">
      <xdr:nvSpPr>
        <xdr:cNvPr id="160" name="nuNumber: 159" hidden="1">
          <a:extLst>
            <a:ext uri="{FF2B5EF4-FFF2-40B4-BE49-F238E27FC236}">
              <a16:creationId xmlns:a16="http://schemas.microsoft.com/office/drawing/2014/main" id="{4678D67D-1E34-461A-A900-7A472E574B48}"/>
            </a:ext>
          </a:extLst>
        </xdr:cNvPr>
        <xdr:cNvSpPr/>
      </xdr:nvSpPr>
      <xdr:spPr bwMode="auto">
        <a:xfrm>
          <a:off x="15135225" y="60820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28</xdr:row>
      <xdr:rowOff>119380</xdr:rowOff>
    </xdr:from>
    <xdr:to>
      <xdr:col>21</xdr:col>
      <xdr:colOff>63500</xdr:colOff>
      <xdr:row>29</xdr:row>
      <xdr:rowOff>0</xdr:rowOff>
    </xdr:to>
    <xdr:sp macro="" textlink="">
      <xdr:nvSpPr>
        <xdr:cNvPr id="161" name="nuNumber: 160" hidden="1">
          <a:extLst>
            <a:ext uri="{FF2B5EF4-FFF2-40B4-BE49-F238E27FC236}">
              <a16:creationId xmlns:a16="http://schemas.microsoft.com/office/drawing/2014/main" id="{872CC70E-CF58-4659-A39C-F15268E847FB}"/>
            </a:ext>
          </a:extLst>
        </xdr:cNvPr>
        <xdr:cNvSpPr/>
      </xdr:nvSpPr>
      <xdr:spPr bwMode="auto">
        <a:xfrm>
          <a:off x="15849600" y="60820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30</xdr:row>
      <xdr:rowOff>142240</xdr:rowOff>
    </xdr:from>
    <xdr:to>
      <xdr:col>10</xdr:col>
      <xdr:colOff>63500</xdr:colOff>
      <xdr:row>31</xdr:row>
      <xdr:rowOff>0</xdr:rowOff>
    </xdr:to>
    <xdr:sp macro="" textlink="">
      <xdr:nvSpPr>
        <xdr:cNvPr id="162" name="nuNumber: 161" hidden="1">
          <a:extLst>
            <a:ext uri="{FF2B5EF4-FFF2-40B4-BE49-F238E27FC236}">
              <a16:creationId xmlns:a16="http://schemas.microsoft.com/office/drawing/2014/main" id="{ED44BA65-72A5-4D15-B30B-49D1577C12AE}"/>
            </a:ext>
          </a:extLst>
        </xdr:cNvPr>
        <xdr:cNvSpPr/>
      </xdr:nvSpPr>
      <xdr:spPr bwMode="auto">
        <a:xfrm>
          <a:off x="7315200" y="65239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30</xdr:row>
      <xdr:rowOff>142240</xdr:rowOff>
    </xdr:from>
    <xdr:to>
      <xdr:col>12</xdr:col>
      <xdr:colOff>63500</xdr:colOff>
      <xdr:row>31</xdr:row>
      <xdr:rowOff>0</xdr:rowOff>
    </xdr:to>
    <xdr:sp macro="" textlink="">
      <xdr:nvSpPr>
        <xdr:cNvPr id="163" name="nuNumber: 162" hidden="1">
          <a:extLst>
            <a:ext uri="{FF2B5EF4-FFF2-40B4-BE49-F238E27FC236}">
              <a16:creationId xmlns:a16="http://schemas.microsoft.com/office/drawing/2014/main" id="{0B2A41D7-7AD6-4D7C-A5FF-87E52968ED7B}"/>
            </a:ext>
          </a:extLst>
        </xdr:cNvPr>
        <xdr:cNvSpPr/>
      </xdr:nvSpPr>
      <xdr:spPr bwMode="auto">
        <a:xfrm>
          <a:off x="8972550" y="65239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30</xdr:row>
      <xdr:rowOff>142240</xdr:rowOff>
    </xdr:from>
    <xdr:to>
      <xdr:col>13</xdr:col>
      <xdr:colOff>63500</xdr:colOff>
      <xdr:row>31</xdr:row>
      <xdr:rowOff>0</xdr:rowOff>
    </xdr:to>
    <xdr:sp macro="" textlink="">
      <xdr:nvSpPr>
        <xdr:cNvPr id="164" name="nuNumber: 163" hidden="1">
          <a:extLst>
            <a:ext uri="{FF2B5EF4-FFF2-40B4-BE49-F238E27FC236}">
              <a16:creationId xmlns:a16="http://schemas.microsoft.com/office/drawing/2014/main" id="{17623D2B-5D77-4CF0-98E6-D9A81008D500}"/>
            </a:ext>
          </a:extLst>
        </xdr:cNvPr>
        <xdr:cNvSpPr/>
      </xdr:nvSpPr>
      <xdr:spPr bwMode="auto">
        <a:xfrm>
          <a:off x="9753600" y="65239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30</xdr:row>
      <xdr:rowOff>142240</xdr:rowOff>
    </xdr:from>
    <xdr:to>
      <xdr:col>14</xdr:col>
      <xdr:colOff>63500</xdr:colOff>
      <xdr:row>31</xdr:row>
      <xdr:rowOff>0</xdr:rowOff>
    </xdr:to>
    <xdr:sp macro="" textlink="">
      <xdr:nvSpPr>
        <xdr:cNvPr id="165" name="nuNumber: 164" hidden="1">
          <a:extLst>
            <a:ext uri="{FF2B5EF4-FFF2-40B4-BE49-F238E27FC236}">
              <a16:creationId xmlns:a16="http://schemas.microsoft.com/office/drawing/2014/main" id="{8AC4C1ED-D3A2-404D-BC64-310FC66D8F07}"/>
            </a:ext>
          </a:extLst>
        </xdr:cNvPr>
        <xdr:cNvSpPr/>
      </xdr:nvSpPr>
      <xdr:spPr bwMode="auto">
        <a:xfrm>
          <a:off x="10515600" y="65239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30</xdr:row>
      <xdr:rowOff>142240</xdr:rowOff>
    </xdr:from>
    <xdr:to>
      <xdr:col>15</xdr:col>
      <xdr:colOff>63500</xdr:colOff>
      <xdr:row>31</xdr:row>
      <xdr:rowOff>0</xdr:rowOff>
    </xdr:to>
    <xdr:sp macro="" textlink="">
      <xdr:nvSpPr>
        <xdr:cNvPr id="166" name="nuNumber: 165" hidden="1">
          <a:extLst>
            <a:ext uri="{FF2B5EF4-FFF2-40B4-BE49-F238E27FC236}">
              <a16:creationId xmlns:a16="http://schemas.microsoft.com/office/drawing/2014/main" id="{FCFC411A-9915-4F29-855F-D3CED5A8E3EF}"/>
            </a:ext>
          </a:extLst>
        </xdr:cNvPr>
        <xdr:cNvSpPr/>
      </xdr:nvSpPr>
      <xdr:spPr bwMode="auto">
        <a:xfrm>
          <a:off x="11325225" y="65239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30</xdr:row>
      <xdr:rowOff>142240</xdr:rowOff>
    </xdr:from>
    <xdr:to>
      <xdr:col>16</xdr:col>
      <xdr:colOff>63500</xdr:colOff>
      <xdr:row>31</xdr:row>
      <xdr:rowOff>0</xdr:rowOff>
    </xdr:to>
    <xdr:sp macro="" textlink="">
      <xdr:nvSpPr>
        <xdr:cNvPr id="167" name="nuNumber: 166" hidden="1">
          <a:extLst>
            <a:ext uri="{FF2B5EF4-FFF2-40B4-BE49-F238E27FC236}">
              <a16:creationId xmlns:a16="http://schemas.microsoft.com/office/drawing/2014/main" id="{E48C9168-67CD-4C45-B8A1-BBEA095598C3}"/>
            </a:ext>
          </a:extLst>
        </xdr:cNvPr>
        <xdr:cNvSpPr/>
      </xdr:nvSpPr>
      <xdr:spPr bwMode="auto">
        <a:xfrm>
          <a:off x="12106275" y="65239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30</xdr:row>
      <xdr:rowOff>142240</xdr:rowOff>
    </xdr:from>
    <xdr:to>
      <xdr:col>17</xdr:col>
      <xdr:colOff>63500</xdr:colOff>
      <xdr:row>31</xdr:row>
      <xdr:rowOff>0</xdr:rowOff>
    </xdr:to>
    <xdr:sp macro="" textlink="">
      <xdr:nvSpPr>
        <xdr:cNvPr id="168" name="nuNumber: 167" hidden="1">
          <a:extLst>
            <a:ext uri="{FF2B5EF4-FFF2-40B4-BE49-F238E27FC236}">
              <a16:creationId xmlns:a16="http://schemas.microsoft.com/office/drawing/2014/main" id="{92903812-B1D1-459C-A820-F2913A2DFF6B}"/>
            </a:ext>
          </a:extLst>
        </xdr:cNvPr>
        <xdr:cNvSpPr/>
      </xdr:nvSpPr>
      <xdr:spPr bwMode="auto">
        <a:xfrm>
          <a:off x="12887325" y="65239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30</xdr:row>
      <xdr:rowOff>142240</xdr:rowOff>
    </xdr:from>
    <xdr:to>
      <xdr:col>18</xdr:col>
      <xdr:colOff>63499</xdr:colOff>
      <xdr:row>31</xdr:row>
      <xdr:rowOff>0</xdr:rowOff>
    </xdr:to>
    <xdr:sp macro="" textlink="">
      <xdr:nvSpPr>
        <xdr:cNvPr id="169" name="nuNumber: 168" hidden="1">
          <a:extLst>
            <a:ext uri="{FF2B5EF4-FFF2-40B4-BE49-F238E27FC236}">
              <a16:creationId xmlns:a16="http://schemas.microsoft.com/office/drawing/2014/main" id="{DB7CA5C9-9BCB-4F10-81D3-C5D41A850B62}"/>
            </a:ext>
          </a:extLst>
        </xdr:cNvPr>
        <xdr:cNvSpPr/>
      </xdr:nvSpPr>
      <xdr:spPr bwMode="auto">
        <a:xfrm>
          <a:off x="13624559" y="6523990"/>
          <a:ext cx="5969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30</xdr:row>
      <xdr:rowOff>142240</xdr:rowOff>
    </xdr:from>
    <xdr:to>
      <xdr:col>19</xdr:col>
      <xdr:colOff>63500</xdr:colOff>
      <xdr:row>31</xdr:row>
      <xdr:rowOff>0</xdr:rowOff>
    </xdr:to>
    <xdr:sp macro="" textlink="">
      <xdr:nvSpPr>
        <xdr:cNvPr id="170" name="nuNumber: 169" hidden="1">
          <a:extLst>
            <a:ext uri="{FF2B5EF4-FFF2-40B4-BE49-F238E27FC236}">
              <a16:creationId xmlns:a16="http://schemas.microsoft.com/office/drawing/2014/main" id="{8349A98D-6C00-4466-A0F4-7E28CCAD87DD}"/>
            </a:ext>
          </a:extLst>
        </xdr:cNvPr>
        <xdr:cNvSpPr/>
      </xdr:nvSpPr>
      <xdr:spPr bwMode="auto">
        <a:xfrm>
          <a:off x="14382750" y="65239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30</xdr:row>
      <xdr:rowOff>142240</xdr:rowOff>
    </xdr:from>
    <xdr:to>
      <xdr:col>20</xdr:col>
      <xdr:colOff>63500</xdr:colOff>
      <xdr:row>31</xdr:row>
      <xdr:rowOff>0</xdr:rowOff>
    </xdr:to>
    <xdr:sp macro="" textlink="">
      <xdr:nvSpPr>
        <xdr:cNvPr id="171" name="nuNumber: 170" hidden="1">
          <a:extLst>
            <a:ext uri="{FF2B5EF4-FFF2-40B4-BE49-F238E27FC236}">
              <a16:creationId xmlns:a16="http://schemas.microsoft.com/office/drawing/2014/main" id="{3509541F-8B4C-49A9-8BB6-4EADD544067A}"/>
            </a:ext>
          </a:extLst>
        </xdr:cNvPr>
        <xdr:cNvSpPr/>
      </xdr:nvSpPr>
      <xdr:spPr bwMode="auto">
        <a:xfrm>
          <a:off x="15135225" y="65239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31</xdr:row>
      <xdr:rowOff>142240</xdr:rowOff>
    </xdr:from>
    <xdr:to>
      <xdr:col>10</xdr:col>
      <xdr:colOff>63500</xdr:colOff>
      <xdr:row>32</xdr:row>
      <xdr:rowOff>0</xdr:rowOff>
    </xdr:to>
    <xdr:sp macro="" textlink="">
      <xdr:nvSpPr>
        <xdr:cNvPr id="172" name="nuNumber: 171" hidden="1">
          <a:extLst>
            <a:ext uri="{FF2B5EF4-FFF2-40B4-BE49-F238E27FC236}">
              <a16:creationId xmlns:a16="http://schemas.microsoft.com/office/drawing/2014/main" id="{ABF0F99C-2384-4966-9C3F-93022620C3AC}"/>
            </a:ext>
          </a:extLst>
        </xdr:cNvPr>
        <xdr:cNvSpPr/>
      </xdr:nvSpPr>
      <xdr:spPr bwMode="auto">
        <a:xfrm>
          <a:off x="7315200" y="67335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31</xdr:row>
      <xdr:rowOff>142240</xdr:rowOff>
    </xdr:from>
    <xdr:to>
      <xdr:col>11</xdr:col>
      <xdr:colOff>63500</xdr:colOff>
      <xdr:row>32</xdr:row>
      <xdr:rowOff>0</xdr:rowOff>
    </xdr:to>
    <xdr:sp macro="" textlink="">
      <xdr:nvSpPr>
        <xdr:cNvPr id="173" name="nuNumber: 172" hidden="1">
          <a:extLst>
            <a:ext uri="{FF2B5EF4-FFF2-40B4-BE49-F238E27FC236}">
              <a16:creationId xmlns:a16="http://schemas.microsoft.com/office/drawing/2014/main" id="{D90E5886-B245-48FE-9FB1-1C148FF7D85E}"/>
            </a:ext>
          </a:extLst>
        </xdr:cNvPr>
        <xdr:cNvSpPr/>
      </xdr:nvSpPr>
      <xdr:spPr bwMode="auto">
        <a:xfrm>
          <a:off x="8105775" y="67335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31</xdr:row>
      <xdr:rowOff>142240</xdr:rowOff>
    </xdr:from>
    <xdr:to>
      <xdr:col>12</xdr:col>
      <xdr:colOff>63500</xdr:colOff>
      <xdr:row>32</xdr:row>
      <xdr:rowOff>0</xdr:rowOff>
    </xdr:to>
    <xdr:sp macro="" textlink="">
      <xdr:nvSpPr>
        <xdr:cNvPr id="174" name="nuNumber: 173" hidden="1">
          <a:extLst>
            <a:ext uri="{FF2B5EF4-FFF2-40B4-BE49-F238E27FC236}">
              <a16:creationId xmlns:a16="http://schemas.microsoft.com/office/drawing/2014/main" id="{7561EE2E-9170-49FC-B03B-11D205153E18}"/>
            </a:ext>
          </a:extLst>
        </xdr:cNvPr>
        <xdr:cNvSpPr/>
      </xdr:nvSpPr>
      <xdr:spPr bwMode="auto">
        <a:xfrm>
          <a:off x="8972550" y="67335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31</xdr:row>
      <xdr:rowOff>142240</xdr:rowOff>
    </xdr:from>
    <xdr:to>
      <xdr:col>13</xdr:col>
      <xdr:colOff>63500</xdr:colOff>
      <xdr:row>32</xdr:row>
      <xdr:rowOff>0</xdr:rowOff>
    </xdr:to>
    <xdr:sp macro="" textlink="">
      <xdr:nvSpPr>
        <xdr:cNvPr id="175" name="nuNumber: 174" hidden="1">
          <a:extLst>
            <a:ext uri="{FF2B5EF4-FFF2-40B4-BE49-F238E27FC236}">
              <a16:creationId xmlns:a16="http://schemas.microsoft.com/office/drawing/2014/main" id="{773FBF4D-B7A2-48D1-AEF3-3A6A67B35D7F}"/>
            </a:ext>
          </a:extLst>
        </xdr:cNvPr>
        <xdr:cNvSpPr/>
      </xdr:nvSpPr>
      <xdr:spPr bwMode="auto">
        <a:xfrm>
          <a:off x="9753600" y="67335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31</xdr:row>
      <xdr:rowOff>142240</xdr:rowOff>
    </xdr:from>
    <xdr:to>
      <xdr:col>14</xdr:col>
      <xdr:colOff>63500</xdr:colOff>
      <xdr:row>32</xdr:row>
      <xdr:rowOff>0</xdr:rowOff>
    </xdr:to>
    <xdr:sp macro="" textlink="">
      <xdr:nvSpPr>
        <xdr:cNvPr id="176" name="nuNumber: 175" hidden="1">
          <a:extLst>
            <a:ext uri="{FF2B5EF4-FFF2-40B4-BE49-F238E27FC236}">
              <a16:creationId xmlns:a16="http://schemas.microsoft.com/office/drawing/2014/main" id="{364920D5-90E4-4407-A351-8D7150EEEEB3}"/>
            </a:ext>
          </a:extLst>
        </xdr:cNvPr>
        <xdr:cNvSpPr/>
      </xdr:nvSpPr>
      <xdr:spPr bwMode="auto">
        <a:xfrm>
          <a:off x="10515600" y="67335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31</xdr:row>
      <xdr:rowOff>142240</xdr:rowOff>
    </xdr:from>
    <xdr:to>
      <xdr:col>15</xdr:col>
      <xdr:colOff>63500</xdr:colOff>
      <xdr:row>32</xdr:row>
      <xdr:rowOff>0</xdr:rowOff>
    </xdr:to>
    <xdr:sp macro="" textlink="">
      <xdr:nvSpPr>
        <xdr:cNvPr id="177" name="nuNumber: 176" hidden="1">
          <a:extLst>
            <a:ext uri="{FF2B5EF4-FFF2-40B4-BE49-F238E27FC236}">
              <a16:creationId xmlns:a16="http://schemas.microsoft.com/office/drawing/2014/main" id="{9E08CCC3-51C4-447C-85EF-E882EF3C9E3D}"/>
            </a:ext>
          </a:extLst>
        </xdr:cNvPr>
        <xdr:cNvSpPr/>
      </xdr:nvSpPr>
      <xdr:spPr bwMode="auto">
        <a:xfrm>
          <a:off x="11325225" y="67335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31</xdr:row>
      <xdr:rowOff>142240</xdr:rowOff>
    </xdr:from>
    <xdr:to>
      <xdr:col>16</xdr:col>
      <xdr:colOff>63500</xdr:colOff>
      <xdr:row>32</xdr:row>
      <xdr:rowOff>0</xdr:rowOff>
    </xdr:to>
    <xdr:sp macro="" textlink="">
      <xdr:nvSpPr>
        <xdr:cNvPr id="178" name="nuNumber: 177" hidden="1">
          <a:extLst>
            <a:ext uri="{FF2B5EF4-FFF2-40B4-BE49-F238E27FC236}">
              <a16:creationId xmlns:a16="http://schemas.microsoft.com/office/drawing/2014/main" id="{B47FF6E1-4FCC-4ECC-ACDE-6ABCC13556B5}"/>
            </a:ext>
          </a:extLst>
        </xdr:cNvPr>
        <xdr:cNvSpPr/>
      </xdr:nvSpPr>
      <xdr:spPr bwMode="auto">
        <a:xfrm>
          <a:off x="12106275" y="67335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31</xdr:row>
      <xdr:rowOff>142240</xdr:rowOff>
    </xdr:from>
    <xdr:to>
      <xdr:col>17</xdr:col>
      <xdr:colOff>63500</xdr:colOff>
      <xdr:row>32</xdr:row>
      <xdr:rowOff>0</xdr:rowOff>
    </xdr:to>
    <xdr:sp macro="" textlink="">
      <xdr:nvSpPr>
        <xdr:cNvPr id="179" name="nuNumber: 178" hidden="1">
          <a:extLst>
            <a:ext uri="{FF2B5EF4-FFF2-40B4-BE49-F238E27FC236}">
              <a16:creationId xmlns:a16="http://schemas.microsoft.com/office/drawing/2014/main" id="{53215735-82E3-4AF7-8FCD-0A68A1DCDB65}"/>
            </a:ext>
          </a:extLst>
        </xdr:cNvPr>
        <xdr:cNvSpPr/>
      </xdr:nvSpPr>
      <xdr:spPr bwMode="auto">
        <a:xfrm>
          <a:off x="12887325" y="67335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31</xdr:row>
      <xdr:rowOff>142240</xdr:rowOff>
    </xdr:from>
    <xdr:to>
      <xdr:col>18</xdr:col>
      <xdr:colOff>63499</xdr:colOff>
      <xdr:row>32</xdr:row>
      <xdr:rowOff>0</xdr:rowOff>
    </xdr:to>
    <xdr:sp macro="" textlink="">
      <xdr:nvSpPr>
        <xdr:cNvPr id="180" name="nuNumber: 179" hidden="1">
          <a:extLst>
            <a:ext uri="{FF2B5EF4-FFF2-40B4-BE49-F238E27FC236}">
              <a16:creationId xmlns:a16="http://schemas.microsoft.com/office/drawing/2014/main" id="{88640A27-F28C-40BD-9BF8-87A8328BE327}"/>
            </a:ext>
          </a:extLst>
        </xdr:cNvPr>
        <xdr:cNvSpPr/>
      </xdr:nvSpPr>
      <xdr:spPr bwMode="auto">
        <a:xfrm>
          <a:off x="13624559" y="6733540"/>
          <a:ext cx="5969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31</xdr:row>
      <xdr:rowOff>142240</xdr:rowOff>
    </xdr:from>
    <xdr:to>
      <xdr:col>19</xdr:col>
      <xdr:colOff>63500</xdr:colOff>
      <xdr:row>32</xdr:row>
      <xdr:rowOff>0</xdr:rowOff>
    </xdr:to>
    <xdr:sp macro="" textlink="">
      <xdr:nvSpPr>
        <xdr:cNvPr id="181" name="nuNumber: 180" hidden="1">
          <a:extLst>
            <a:ext uri="{FF2B5EF4-FFF2-40B4-BE49-F238E27FC236}">
              <a16:creationId xmlns:a16="http://schemas.microsoft.com/office/drawing/2014/main" id="{A0FA45B0-9E4F-4E40-ABB3-C2EDACA6604E}"/>
            </a:ext>
          </a:extLst>
        </xdr:cNvPr>
        <xdr:cNvSpPr/>
      </xdr:nvSpPr>
      <xdr:spPr bwMode="auto">
        <a:xfrm>
          <a:off x="14382750" y="67335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31</xdr:row>
      <xdr:rowOff>142240</xdr:rowOff>
    </xdr:from>
    <xdr:to>
      <xdr:col>20</xdr:col>
      <xdr:colOff>63500</xdr:colOff>
      <xdr:row>32</xdr:row>
      <xdr:rowOff>0</xdr:rowOff>
    </xdr:to>
    <xdr:sp macro="" textlink="">
      <xdr:nvSpPr>
        <xdr:cNvPr id="182" name="nuNumber: 181" hidden="1">
          <a:extLst>
            <a:ext uri="{FF2B5EF4-FFF2-40B4-BE49-F238E27FC236}">
              <a16:creationId xmlns:a16="http://schemas.microsoft.com/office/drawing/2014/main" id="{A5EA9C66-981A-4E42-A832-A58030D1BD01}"/>
            </a:ext>
          </a:extLst>
        </xdr:cNvPr>
        <xdr:cNvSpPr/>
      </xdr:nvSpPr>
      <xdr:spPr bwMode="auto">
        <a:xfrm>
          <a:off x="15135225" y="67335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32</xdr:row>
      <xdr:rowOff>142240</xdr:rowOff>
    </xdr:from>
    <xdr:to>
      <xdr:col>8</xdr:col>
      <xdr:colOff>63500</xdr:colOff>
      <xdr:row>33</xdr:row>
      <xdr:rowOff>0</xdr:rowOff>
    </xdr:to>
    <xdr:sp macro="" textlink="">
      <xdr:nvSpPr>
        <xdr:cNvPr id="183" name="nuNumber: 197" hidden="1">
          <a:extLst>
            <a:ext uri="{FF2B5EF4-FFF2-40B4-BE49-F238E27FC236}">
              <a16:creationId xmlns:a16="http://schemas.microsoft.com/office/drawing/2014/main" id="{605513E7-DD01-47BF-8269-19FAD19A1A00}"/>
            </a:ext>
          </a:extLst>
        </xdr:cNvPr>
        <xdr:cNvSpPr/>
      </xdr:nvSpPr>
      <xdr:spPr bwMode="auto">
        <a:xfrm>
          <a:off x="5562600" y="69430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32</xdr:row>
      <xdr:rowOff>142240</xdr:rowOff>
    </xdr:from>
    <xdr:to>
      <xdr:col>9</xdr:col>
      <xdr:colOff>63500</xdr:colOff>
      <xdr:row>33</xdr:row>
      <xdr:rowOff>0</xdr:rowOff>
    </xdr:to>
    <xdr:sp macro="" textlink="">
      <xdr:nvSpPr>
        <xdr:cNvPr id="184" name="nuNumber: 198" hidden="1">
          <a:extLst>
            <a:ext uri="{FF2B5EF4-FFF2-40B4-BE49-F238E27FC236}">
              <a16:creationId xmlns:a16="http://schemas.microsoft.com/office/drawing/2014/main" id="{3BC0C525-5846-43A6-8614-E684C34EEAFB}"/>
            </a:ext>
          </a:extLst>
        </xdr:cNvPr>
        <xdr:cNvSpPr/>
      </xdr:nvSpPr>
      <xdr:spPr bwMode="auto">
        <a:xfrm>
          <a:off x="6467475" y="69430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32</xdr:row>
      <xdr:rowOff>142240</xdr:rowOff>
    </xdr:from>
    <xdr:to>
      <xdr:col>9</xdr:col>
      <xdr:colOff>63500</xdr:colOff>
      <xdr:row>33</xdr:row>
      <xdr:rowOff>0</xdr:rowOff>
    </xdr:to>
    <xdr:sp macro="" textlink="">
      <xdr:nvSpPr>
        <xdr:cNvPr id="185" name="nuNumber: 199" hidden="1">
          <a:extLst>
            <a:ext uri="{FF2B5EF4-FFF2-40B4-BE49-F238E27FC236}">
              <a16:creationId xmlns:a16="http://schemas.microsoft.com/office/drawing/2014/main" id="{FA9A1140-C65A-4797-A4F5-8798FB73F974}"/>
            </a:ext>
          </a:extLst>
        </xdr:cNvPr>
        <xdr:cNvSpPr/>
      </xdr:nvSpPr>
      <xdr:spPr bwMode="auto">
        <a:xfrm>
          <a:off x="6467475" y="69430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32</xdr:row>
      <xdr:rowOff>142240</xdr:rowOff>
    </xdr:from>
    <xdr:to>
      <xdr:col>10</xdr:col>
      <xdr:colOff>63500</xdr:colOff>
      <xdr:row>33</xdr:row>
      <xdr:rowOff>0</xdr:rowOff>
    </xdr:to>
    <xdr:sp macro="" textlink="">
      <xdr:nvSpPr>
        <xdr:cNvPr id="186" name="nuNumber: 200" hidden="1">
          <a:extLst>
            <a:ext uri="{FF2B5EF4-FFF2-40B4-BE49-F238E27FC236}">
              <a16:creationId xmlns:a16="http://schemas.microsoft.com/office/drawing/2014/main" id="{7A17A012-42A6-4D16-9CAC-D14788F8A922}"/>
            </a:ext>
          </a:extLst>
        </xdr:cNvPr>
        <xdr:cNvSpPr/>
      </xdr:nvSpPr>
      <xdr:spPr bwMode="auto">
        <a:xfrm>
          <a:off x="7315200" y="69430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32</xdr:row>
      <xdr:rowOff>142240</xdr:rowOff>
    </xdr:from>
    <xdr:to>
      <xdr:col>11</xdr:col>
      <xdr:colOff>63500</xdr:colOff>
      <xdr:row>33</xdr:row>
      <xdr:rowOff>0</xdr:rowOff>
    </xdr:to>
    <xdr:sp macro="" textlink="">
      <xdr:nvSpPr>
        <xdr:cNvPr id="187" name="nuNumber: 201" hidden="1">
          <a:extLst>
            <a:ext uri="{FF2B5EF4-FFF2-40B4-BE49-F238E27FC236}">
              <a16:creationId xmlns:a16="http://schemas.microsoft.com/office/drawing/2014/main" id="{AED4B56B-4477-45F3-BB4E-395803CB0159}"/>
            </a:ext>
          </a:extLst>
        </xdr:cNvPr>
        <xdr:cNvSpPr/>
      </xdr:nvSpPr>
      <xdr:spPr bwMode="auto">
        <a:xfrm>
          <a:off x="8105775" y="69430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32</xdr:row>
      <xdr:rowOff>142240</xdr:rowOff>
    </xdr:from>
    <xdr:to>
      <xdr:col>12</xdr:col>
      <xdr:colOff>63500</xdr:colOff>
      <xdr:row>33</xdr:row>
      <xdr:rowOff>0</xdr:rowOff>
    </xdr:to>
    <xdr:sp macro="" textlink="">
      <xdr:nvSpPr>
        <xdr:cNvPr id="188" name="nuNumber: 202" hidden="1">
          <a:extLst>
            <a:ext uri="{FF2B5EF4-FFF2-40B4-BE49-F238E27FC236}">
              <a16:creationId xmlns:a16="http://schemas.microsoft.com/office/drawing/2014/main" id="{DB4F5A81-B1C0-46A7-8CB3-6519046859E6}"/>
            </a:ext>
          </a:extLst>
        </xdr:cNvPr>
        <xdr:cNvSpPr/>
      </xdr:nvSpPr>
      <xdr:spPr bwMode="auto">
        <a:xfrm>
          <a:off x="8972550" y="69430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32</xdr:row>
      <xdr:rowOff>142240</xdr:rowOff>
    </xdr:from>
    <xdr:to>
      <xdr:col>13</xdr:col>
      <xdr:colOff>63500</xdr:colOff>
      <xdr:row>33</xdr:row>
      <xdr:rowOff>0</xdr:rowOff>
    </xdr:to>
    <xdr:sp macro="" textlink="">
      <xdr:nvSpPr>
        <xdr:cNvPr id="189" name="nuNumber: 203" hidden="1">
          <a:extLst>
            <a:ext uri="{FF2B5EF4-FFF2-40B4-BE49-F238E27FC236}">
              <a16:creationId xmlns:a16="http://schemas.microsoft.com/office/drawing/2014/main" id="{E14A8B62-CF22-460E-9C2F-0B8128BEBDD6}"/>
            </a:ext>
          </a:extLst>
        </xdr:cNvPr>
        <xdr:cNvSpPr/>
      </xdr:nvSpPr>
      <xdr:spPr bwMode="auto">
        <a:xfrm>
          <a:off x="9753600" y="69430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32</xdr:row>
      <xdr:rowOff>142240</xdr:rowOff>
    </xdr:from>
    <xdr:to>
      <xdr:col>14</xdr:col>
      <xdr:colOff>63500</xdr:colOff>
      <xdr:row>33</xdr:row>
      <xdr:rowOff>0</xdr:rowOff>
    </xdr:to>
    <xdr:sp macro="" textlink="">
      <xdr:nvSpPr>
        <xdr:cNvPr id="190" name="nuNumber: 204" hidden="1">
          <a:extLst>
            <a:ext uri="{FF2B5EF4-FFF2-40B4-BE49-F238E27FC236}">
              <a16:creationId xmlns:a16="http://schemas.microsoft.com/office/drawing/2014/main" id="{BD73F5CC-AACB-45E3-A618-428A7C796068}"/>
            </a:ext>
          </a:extLst>
        </xdr:cNvPr>
        <xdr:cNvSpPr/>
      </xdr:nvSpPr>
      <xdr:spPr bwMode="auto">
        <a:xfrm>
          <a:off x="10515600" y="69430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32</xdr:row>
      <xdr:rowOff>142240</xdr:rowOff>
    </xdr:from>
    <xdr:to>
      <xdr:col>15</xdr:col>
      <xdr:colOff>63500</xdr:colOff>
      <xdr:row>33</xdr:row>
      <xdr:rowOff>0</xdr:rowOff>
    </xdr:to>
    <xdr:sp macro="" textlink="">
      <xdr:nvSpPr>
        <xdr:cNvPr id="191" name="nuNumber: 205" hidden="1">
          <a:extLst>
            <a:ext uri="{FF2B5EF4-FFF2-40B4-BE49-F238E27FC236}">
              <a16:creationId xmlns:a16="http://schemas.microsoft.com/office/drawing/2014/main" id="{D8248EDB-F853-49F7-9036-91BDFCBFC1D9}"/>
            </a:ext>
          </a:extLst>
        </xdr:cNvPr>
        <xdr:cNvSpPr/>
      </xdr:nvSpPr>
      <xdr:spPr bwMode="auto">
        <a:xfrm>
          <a:off x="11325225" y="69430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32</xdr:row>
      <xdr:rowOff>142240</xdr:rowOff>
    </xdr:from>
    <xdr:to>
      <xdr:col>16</xdr:col>
      <xdr:colOff>63500</xdr:colOff>
      <xdr:row>33</xdr:row>
      <xdr:rowOff>0</xdr:rowOff>
    </xdr:to>
    <xdr:sp macro="" textlink="">
      <xdr:nvSpPr>
        <xdr:cNvPr id="192" name="nuNumber: 206" hidden="1">
          <a:extLst>
            <a:ext uri="{FF2B5EF4-FFF2-40B4-BE49-F238E27FC236}">
              <a16:creationId xmlns:a16="http://schemas.microsoft.com/office/drawing/2014/main" id="{3085A78B-81AE-42B3-BCFE-45FDD9CE660C}"/>
            </a:ext>
          </a:extLst>
        </xdr:cNvPr>
        <xdr:cNvSpPr/>
      </xdr:nvSpPr>
      <xdr:spPr bwMode="auto">
        <a:xfrm>
          <a:off x="12106275" y="69430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32</xdr:row>
      <xdr:rowOff>142240</xdr:rowOff>
    </xdr:from>
    <xdr:to>
      <xdr:col>17</xdr:col>
      <xdr:colOff>63500</xdr:colOff>
      <xdr:row>33</xdr:row>
      <xdr:rowOff>0</xdr:rowOff>
    </xdr:to>
    <xdr:sp macro="" textlink="">
      <xdr:nvSpPr>
        <xdr:cNvPr id="193" name="nuNumber: 207" hidden="1">
          <a:extLst>
            <a:ext uri="{FF2B5EF4-FFF2-40B4-BE49-F238E27FC236}">
              <a16:creationId xmlns:a16="http://schemas.microsoft.com/office/drawing/2014/main" id="{72149295-29B8-43C5-A4F3-DE544F859645}"/>
            </a:ext>
          </a:extLst>
        </xdr:cNvPr>
        <xdr:cNvSpPr/>
      </xdr:nvSpPr>
      <xdr:spPr bwMode="auto">
        <a:xfrm>
          <a:off x="12887325" y="69430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32</xdr:row>
      <xdr:rowOff>142240</xdr:rowOff>
    </xdr:from>
    <xdr:to>
      <xdr:col>18</xdr:col>
      <xdr:colOff>63499</xdr:colOff>
      <xdr:row>33</xdr:row>
      <xdr:rowOff>0</xdr:rowOff>
    </xdr:to>
    <xdr:sp macro="" textlink="">
      <xdr:nvSpPr>
        <xdr:cNvPr id="194" name="nuNumber: 208" hidden="1">
          <a:extLst>
            <a:ext uri="{FF2B5EF4-FFF2-40B4-BE49-F238E27FC236}">
              <a16:creationId xmlns:a16="http://schemas.microsoft.com/office/drawing/2014/main" id="{B05B8F70-CFC2-43CA-937D-C385C00028CA}"/>
            </a:ext>
          </a:extLst>
        </xdr:cNvPr>
        <xdr:cNvSpPr/>
      </xdr:nvSpPr>
      <xdr:spPr bwMode="auto">
        <a:xfrm>
          <a:off x="13624559" y="6943090"/>
          <a:ext cx="5969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32</xdr:row>
      <xdr:rowOff>142240</xdr:rowOff>
    </xdr:from>
    <xdr:to>
      <xdr:col>19</xdr:col>
      <xdr:colOff>63500</xdr:colOff>
      <xdr:row>33</xdr:row>
      <xdr:rowOff>0</xdr:rowOff>
    </xdr:to>
    <xdr:sp macro="" textlink="">
      <xdr:nvSpPr>
        <xdr:cNvPr id="195" name="nuNumber: 209" hidden="1">
          <a:extLst>
            <a:ext uri="{FF2B5EF4-FFF2-40B4-BE49-F238E27FC236}">
              <a16:creationId xmlns:a16="http://schemas.microsoft.com/office/drawing/2014/main" id="{820A9A17-0D12-4964-9ED2-6790AF6217F8}"/>
            </a:ext>
          </a:extLst>
        </xdr:cNvPr>
        <xdr:cNvSpPr/>
      </xdr:nvSpPr>
      <xdr:spPr bwMode="auto">
        <a:xfrm>
          <a:off x="14382750" y="69430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32</xdr:row>
      <xdr:rowOff>142240</xdr:rowOff>
    </xdr:from>
    <xdr:to>
      <xdr:col>20</xdr:col>
      <xdr:colOff>63500</xdr:colOff>
      <xdr:row>33</xdr:row>
      <xdr:rowOff>0</xdr:rowOff>
    </xdr:to>
    <xdr:sp macro="" textlink="">
      <xdr:nvSpPr>
        <xdr:cNvPr id="196" name="nuNumber: 210" hidden="1">
          <a:extLst>
            <a:ext uri="{FF2B5EF4-FFF2-40B4-BE49-F238E27FC236}">
              <a16:creationId xmlns:a16="http://schemas.microsoft.com/office/drawing/2014/main" id="{97AD2004-BD7A-47B5-BF30-C29F753C84C1}"/>
            </a:ext>
          </a:extLst>
        </xdr:cNvPr>
        <xdr:cNvSpPr/>
      </xdr:nvSpPr>
      <xdr:spPr bwMode="auto">
        <a:xfrm>
          <a:off x="15135225" y="69430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32</xdr:row>
      <xdr:rowOff>142240</xdr:rowOff>
    </xdr:from>
    <xdr:to>
      <xdr:col>21</xdr:col>
      <xdr:colOff>63500</xdr:colOff>
      <xdr:row>33</xdr:row>
      <xdr:rowOff>0</xdr:rowOff>
    </xdr:to>
    <xdr:sp macro="" textlink="">
      <xdr:nvSpPr>
        <xdr:cNvPr id="197" name="nuNumber: 211" hidden="1">
          <a:extLst>
            <a:ext uri="{FF2B5EF4-FFF2-40B4-BE49-F238E27FC236}">
              <a16:creationId xmlns:a16="http://schemas.microsoft.com/office/drawing/2014/main" id="{442E0584-AA8E-4C04-BF2D-276EBAA58A4C}"/>
            </a:ext>
          </a:extLst>
        </xdr:cNvPr>
        <xdr:cNvSpPr/>
      </xdr:nvSpPr>
      <xdr:spPr bwMode="auto">
        <a:xfrm>
          <a:off x="15849600" y="69430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33</xdr:row>
      <xdr:rowOff>142240</xdr:rowOff>
    </xdr:from>
    <xdr:to>
      <xdr:col>8</xdr:col>
      <xdr:colOff>63500</xdr:colOff>
      <xdr:row>34</xdr:row>
      <xdr:rowOff>0</xdr:rowOff>
    </xdr:to>
    <xdr:sp macro="" textlink="">
      <xdr:nvSpPr>
        <xdr:cNvPr id="198" name="nuNumber: 212" hidden="1">
          <a:extLst>
            <a:ext uri="{FF2B5EF4-FFF2-40B4-BE49-F238E27FC236}">
              <a16:creationId xmlns:a16="http://schemas.microsoft.com/office/drawing/2014/main" id="{05D6F805-6ED3-4272-8878-1CBDFA67D3F0}"/>
            </a:ext>
          </a:extLst>
        </xdr:cNvPr>
        <xdr:cNvSpPr/>
      </xdr:nvSpPr>
      <xdr:spPr bwMode="auto">
        <a:xfrm>
          <a:off x="5562600" y="71526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33</xdr:row>
      <xdr:rowOff>142240</xdr:rowOff>
    </xdr:from>
    <xdr:to>
      <xdr:col>9</xdr:col>
      <xdr:colOff>63500</xdr:colOff>
      <xdr:row>34</xdr:row>
      <xdr:rowOff>0</xdr:rowOff>
    </xdr:to>
    <xdr:sp macro="" textlink="">
      <xdr:nvSpPr>
        <xdr:cNvPr id="199" name="nuNumber: 213" hidden="1">
          <a:extLst>
            <a:ext uri="{FF2B5EF4-FFF2-40B4-BE49-F238E27FC236}">
              <a16:creationId xmlns:a16="http://schemas.microsoft.com/office/drawing/2014/main" id="{8BEC9A84-0F39-4F32-B9F8-87426962AADD}"/>
            </a:ext>
          </a:extLst>
        </xdr:cNvPr>
        <xdr:cNvSpPr/>
      </xdr:nvSpPr>
      <xdr:spPr bwMode="auto">
        <a:xfrm>
          <a:off x="6467475" y="71526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33</xdr:row>
      <xdr:rowOff>142240</xdr:rowOff>
    </xdr:from>
    <xdr:to>
      <xdr:col>9</xdr:col>
      <xdr:colOff>63500</xdr:colOff>
      <xdr:row>34</xdr:row>
      <xdr:rowOff>0</xdr:rowOff>
    </xdr:to>
    <xdr:sp macro="" textlink="">
      <xdr:nvSpPr>
        <xdr:cNvPr id="200" name="nuNumber: 214" hidden="1">
          <a:extLst>
            <a:ext uri="{FF2B5EF4-FFF2-40B4-BE49-F238E27FC236}">
              <a16:creationId xmlns:a16="http://schemas.microsoft.com/office/drawing/2014/main" id="{1BAE653E-8F18-4CAA-B3B5-91BC892C5697}"/>
            </a:ext>
          </a:extLst>
        </xdr:cNvPr>
        <xdr:cNvSpPr/>
      </xdr:nvSpPr>
      <xdr:spPr bwMode="auto">
        <a:xfrm>
          <a:off x="6467475" y="71526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33</xdr:row>
      <xdr:rowOff>142240</xdr:rowOff>
    </xdr:from>
    <xdr:to>
      <xdr:col>10</xdr:col>
      <xdr:colOff>63500</xdr:colOff>
      <xdr:row>34</xdr:row>
      <xdr:rowOff>0</xdr:rowOff>
    </xdr:to>
    <xdr:sp macro="" textlink="">
      <xdr:nvSpPr>
        <xdr:cNvPr id="201" name="nuNumber: 215" hidden="1">
          <a:extLst>
            <a:ext uri="{FF2B5EF4-FFF2-40B4-BE49-F238E27FC236}">
              <a16:creationId xmlns:a16="http://schemas.microsoft.com/office/drawing/2014/main" id="{68BE1EF6-D41B-4608-AC70-9444A4BF63DA}"/>
            </a:ext>
          </a:extLst>
        </xdr:cNvPr>
        <xdr:cNvSpPr/>
      </xdr:nvSpPr>
      <xdr:spPr bwMode="auto">
        <a:xfrm>
          <a:off x="7315200" y="71526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33</xdr:row>
      <xdr:rowOff>142240</xdr:rowOff>
    </xdr:from>
    <xdr:to>
      <xdr:col>11</xdr:col>
      <xdr:colOff>63500</xdr:colOff>
      <xdr:row>34</xdr:row>
      <xdr:rowOff>0</xdr:rowOff>
    </xdr:to>
    <xdr:sp macro="" textlink="">
      <xdr:nvSpPr>
        <xdr:cNvPr id="202" name="nuNumber: 216" hidden="1">
          <a:extLst>
            <a:ext uri="{FF2B5EF4-FFF2-40B4-BE49-F238E27FC236}">
              <a16:creationId xmlns:a16="http://schemas.microsoft.com/office/drawing/2014/main" id="{78AE2B2B-35FC-4DE5-BCDA-2E389F7970FA}"/>
            </a:ext>
          </a:extLst>
        </xdr:cNvPr>
        <xdr:cNvSpPr/>
      </xdr:nvSpPr>
      <xdr:spPr bwMode="auto">
        <a:xfrm>
          <a:off x="8105775" y="71526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33</xdr:row>
      <xdr:rowOff>142240</xdr:rowOff>
    </xdr:from>
    <xdr:to>
      <xdr:col>12</xdr:col>
      <xdr:colOff>63500</xdr:colOff>
      <xdr:row>34</xdr:row>
      <xdr:rowOff>0</xdr:rowOff>
    </xdr:to>
    <xdr:sp macro="" textlink="">
      <xdr:nvSpPr>
        <xdr:cNvPr id="203" name="nuNumber: 217" hidden="1">
          <a:extLst>
            <a:ext uri="{FF2B5EF4-FFF2-40B4-BE49-F238E27FC236}">
              <a16:creationId xmlns:a16="http://schemas.microsoft.com/office/drawing/2014/main" id="{AB184BE4-115D-43BC-BC36-5599F11C1842}"/>
            </a:ext>
          </a:extLst>
        </xdr:cNvPr>
        <xdr:cNvSpPr/>
      </xdr:nvSpPr>
      <xdr:spPr bwMode="auto">
        <a:xfrm>
          <a:off x="8972550" y="71526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33</xdr:row>
      <xdr:rowOff>142240</xdr:rowOff>
    </xdr:from>
    <xdr:to>
      <xdr:col>13</xdr:col>
      <xdr:colOff>63500</xdr:colOff>
      <xdr:row>34</xdr:row>
      <xdr:rowOff>0</xdr:rowOff>
    </xdr:to>
    <xdr:sp macro="" textlink="">
      <xdr:nvSpPr>
        <xdr:cNvPr id="204" name="nuNumber: 218" hidden="1">
          <a:extLst>
            <a:ext uri="{FF2B5EF4-FFF2-40B4-BE49-F238E27FC236}">
              <a16:creationId xmlns:a16="http://schemas.microsoft.com/office/drawing/2014/main" id="{09F2CC2B-3ECB-41E5-A7F8-1019D2C7AA4D}"/>
            </a:ext>
          </a:extLst>
        </xdr:cNvPr>
        <xdr:cNvSpPr/>
      </xdr:nvSpPr>
      <xdr:spPr bwMode="auto">
        <a:xfrm>
          <a:off x="9753600" y="71526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33</xdr:row>
      <xdr:rowOff>142240</xdr:rowOff>
    </xdr:from>
    <xdr:to>
      <xdr:col>14</xdr:col>
      <xdr:colOff>63500</xdr:colOff>
      <xdr:row>34</xdr:row>
      <xdr:rowOff>0</xdr:rowOff>
    </xdr:to>
    <xdr:sp macro="" textlink="">
      <xdr:nvSpPr>
        <xdr:cNvPr id="205" name="nuNumber: 219" hidden="1">
          <a:extLst>
            <a:ext uri="{FF2B5EF4-FFF2-40B4-BE49-F238E27FC236}">
              <a16:creationId xmlns:a16="http://schemas.microsoft.com/office/drawing/2014/main" id="{802FC48B-E6F3-4AD3-9C55-C421F4380A2F}"/>
            </a:ext>
          </a:extLst>
        </xdr:cNvPr>
        <xdr:cNvSpPr/>
      </xdr:nvSpPr>
      <xdr:spPr bwMode="auto">
        <a:xfrm>
          <a:off x="10515600" y="71526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33</xdr:row>
      <xdr:rowOff>142240</xdr:rowOff>
    </xdr:from>
    <xdr:to>
      <xdr:col>15</xdr:col>
      <xdr:colOff>63500</xdr:colOff>
      <xdr:row>34</xdr:row>
      <xdr:rowOff>0</xdr:rowOff>
    </xdr:to>
    <xdr:sp macro="" textlink="">
      <xdr:nvSpPr>
        <xdr:cNvPr id="206" name="nuNumber: 220" hidden="1">
          <a:extLst>
            <a:ext uri="{FF2B5EF4-FFF2-40B4-BE49-F238E27FC236}">
              <a16:creationId xmlns:a16="http://schemas.microsoft.com/office/drawing/2014/main" id="{A2DEE998-A774-467C-8CA0-81F9D619C870}"/>
            </a:ext>
          </a:extLst>
        </xdr:cNvPr>
        <xdr:cNvSpPr/>
      </xdr:nvSpPr>
      <xdr:spPr bwMode="auto">
        <a:xfrm>
          <a:off x="11325225" y="71526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33</xdr:row>
      <xdr:rowOff>142240</xdr:rowOff>
    </xdr:from>
    <xdr:to>
      <xdr:col>16</xdr:col>
      <xdr:colOff>63500</xdr:colOff>
      <xdr:row>34</xdr:row>
      <xdr:rowOff>0</xdr:rowOff>
    </xdr:to>
    <xdr:sp macro="" textlink="">
      <xdr:nvSpPr>
        <xdr:cNvPr id="207" name="nuNumber: 221" hidden="1">
          <a:extLst>
            <a:ext uri="{FF2B5EF4-FFF2-40B4-BE49-F238E27FC236}">
              <a16:creationId xmlns:a16="http://schemas.microsoft.com/office/drawing/2014/main" id="{B5666BD6-D9C9-4E24-AEEA-51A1FB4694C8}"/>
            </a:ext>
          </a:extLst>
        </xdr:cNvPr>
        <xdr:cNvSpPr/>
      </xdr:nvSpPr>
      <xdr:spPr bwMode="auto">
        <a:xfrm>
          <a:off x="12106275" y="71526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33</xdr:row>
      <xdr:rowOff>142240</xdr:rowOff>
    </xdr:from>
    <xdr:to>
      <xdr:col>17</xdr:col>
      <xdr:colOff>63500</xdr:colOff>
      <xdr:row>34</xdr:row>
      <xdr:rowOff>0</xdr:rowOff>
    </xdr:to>
    <xdr:sp macro="" textlink="">
      <xdr:nvSpPr>
        <xdr:cNvPr id="208" name="nuNumber: 222" hidden="1">
          <a:extLst>
            <a:ext uri="{FF2B5EF4-FFF2-40B4-BE49-F238E27FC236}">
              <a16:creationId xmlns:a16="http://schemas.microsoft.com/office/drawing/2014/main" id="{13C26B5F-5304-407A-BF59-2C6C7ADACDFB}"/>
            </a:ext>
          </a:extLst>
        </xdr:cNvPr>
        <xdr:cNvSpPr/>
      </xdr:nvSpPr>
      <xdr:spPr bwMode="auto">
        <a:xfrm>
          <a:off x="12887325" y="71526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33</xdr:row>
      <xdr:rowOff>142240</xdr:rowOff>
    </xdr:from>
    <xdr:to>
      <xdr:col>18</xdr:col>
      <xdr:colOff>63499</xdr:colOff>
      <xdr:row>34</xdr:row>
      <xdr:rowOff>0</xdr:rowOff>
    </xdr:to>
    <xdr:sp macro="" textlink="">
      <xdr:nvSpPr>
        <xdr:cNvPr id="209" name="nuNumber: 223" hidden="1">
          <a:extLst>
            <a:ext uri="{FF2B5EF4-FFF2-40B4-BE49-F238E27FC236}">
              <a16:creationId xmlns:a16="http://schemas.microsoft.com/office/drawing/2014/main" id="{60695D98-6BF4-4411-A168-22C4230C9014}"/>
            </a:ext>
          </a:extLst>
        </xdr:cNvPr>
        <xdr:cNvSpPr/>
      </xdr:nvSpPr>
      <xdr:spPr bwMode="auto">
        <a:xfrm>
          <a:off x="13624559" y="7152640"/>
          <a:ext cx="5969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33</xdr:row>
      <xdr:rowOff>142240</xdr:rowOff>
    </xdr:from>
    <xdr:to>
      <xdr:col>19</xdr:col>
      <xdr:colOff>63500</xdr:colOff>
      <xdr:row>34</xdr:row>
      <xdr:rowOff>0</xdr:rowOff>
    </xdr:to>
    <xdr:sp macro="" textlink="">
      <xdr:nvSpPr>
        <xdr:cNvPr id="210" name="nuNumber: 224" hidden="1">
          <a:extLst>
            <a:ext uri="{FF2B5EF4-FFF2-40B4-BE49-F238E27FC236}">
              <a16:creationId xmlns:a16="http://schemas.microsoft.com/office/drawing/2014/main" id="{AD49D2BA-BCF6-4400-B8C3-8519685610F1}"/>
            </a:ext>
          </a:extLst>
        </xdr:cNvPr>
        <xdr:cNvSpPr/>
      </xdr:nvSpPr>
      <xdr:spPr bwMode="auto">
        <a:xfrm>
          <a:off x="14382750" y="71526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33</xdr:row>
      <xdr:rowOff>142240</xdr:rowOff>
    </xdr:from>
    <xdr:to>
      <xdr:col>20</xdr:col>
      <xdr:colOff>63500</xdr:colOff>
      <xdr:row>34</xdr:row>
      <xdr:rowOff>0</xdr:rowOff>
    </xdr:to>
    <xdr:sp macro="" textlink="">
      <xdr:nvSpPr>
        <xdr:cNvPr id="211" name="nuNumber: 225" hidden="1">
          <a:extLst>
            <a:ext uri="{FF2B5EF4-FFF2-40B4-BE49-F238E27FC236}">
              <a16:creationId xmlns:a16="http://schemas.microsoft.com/office/drawing/2014/main" id="{59C7CCF7-F410-490D-B8D5-0DE3EBE9901D}"/>
            </a:ext>
          </a:extLst>
        </xdr:cNvPr>
        <xdr:cNvSpPr/>
      </xdr:nvSpPr>
      <xdr:spPr bwMode="auto">
        <a:xfrm>
          <a:off x="15135225" y="71526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33</xdr:row>
      <xdr:rowOff>142240</xdr:rowOff>
    </xdr:from>
    <xdr:to>
      <xdr:col>21</xdr:col>
      <xdr:colOff>63500</xdr:colOff>
      <xdr:row>34</xdr:row>
      <xdr:rowOff>0</xdr:rowOff>
    </xdr:to>
    <xdr:sp macro="" textlink="">
      <xdr:nvSpPr>
        <xdr:cNvPr id="212" name="nuNumber: 226" hidden="1">
          <a:extLst>
            <a:ext uri="{FF2B5EF4-FFF2-40B4-BE49-F238E27FC236}">
              <a16:creationId xmlns:a16="http://schemas.microsoft.com/office/drawing/2014/main" id="{F4179CBA-32A4-4B8E-BC85-B956F8CE16AF}"/>
            </a:ext>
          </a:extLst>
        </xdr:cNvPr>
        <xdr:cNvSpPr/>
      </xdr:nvSpPr>
      <xdr:spPr bwMode="auto">
        <a:xfrm>
          <a:off x="15849600" y="71526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34</xdr:row>
      <xdr:rowOff>142240</xdr:rowOff>
    </xdr:from>
    <xdr:to>
      <xdr:col>8</xdr:col>
      <xdr:colOff>63500</xdr:colOff>
      <xdr:row>35</xdr:row>
      <xdr:rowOff>0</xdr:rowOff>
    </xdr:to>
    <xdr:sp macro="" textlink="">
      <xdr:nvSpPr>
        <xdr:cNvPr id="213" name="nuNumber: 227" hidden="1">
          <a:extLst>
            <a:ext uri="{FF2B5EF4-FFF2-40B4-BE49-F238E27FC236}">
              <a16:creationId xmlns:a16="http://schemas.microsoft.com/office/drawing/2014/main" id="{F2E807F0-556C-48A7-9262-3BCF9FCD972D}"/>
            </a:ext>
          </a:extLst>
        </xdr:cNvPr>
        <xdr:cNvSpPr/>
      </xdr:nvSpPr>
      <xdr:spPr bwMode="auto">
        <a:xfrm>
          <a:off x="5562600" y="73621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34</xdr:row>
      <xdr:rowOff>142240</xdr:rowOff>
    </xdr:from>
    <xdr:to>
      <xdr:col>9</xdr:col>
      <xdr:colOff>63500</xdr:colOff>
      <xdr:row>35</xdr:row>
      <xdr:rowOff>0</xdr:rowOff>
    </xdr:to>
    <xdr:sp macro="" textlink="">
      <xdr:nvSpPr>
        <xdr:cNvPr id="214" name="nuNumber: 228" hidden="1">
          <a:extLst>
            <a:ext uri="{FF2B5EF4-FFF2-40B4-BE49-F238E27FC236}">
              <a16:creationId xmlns:a16="http://schemas.microsoft.com/office/drawing/2014/main" id="{4C79D6B5-0170-4128-B2D9-950D7472BC44}"/>
            </a:ext>
          </a:extLst>
        </xdr:cNvPr>
        <xdr:cNvSpPr/>
      </xdr:nvSpPr>
      <xdr:spPr bwMode="auto">
        <a:xfrm>
          <a:off x="6467475" y="73621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34</xdr:row>
      <xdr:rowOff>142240</xdr:rowOff>
    </xdr:from>
    <xdr:to>
      <xdr:col>10</xdr:col>
      <xdr:colOff>63500</xdr:colOff>
      <xdr:row>35</xdr:row>
      <xdr:rowOff>0</xdr:rowOff>
    </xdr:to>
    <xdr:sp macro="" textlink="">
      <xdr:nvSpPr>
        <xdr:cNvPr id="215" name="nuNumber: 229" hidden="1">
          <a:extLst>
            <a:ext uri="{FF2B5EF4-FFF2-40B4-BE49-F238E27FC236}">
              <a16:creationId xmlns:a16="http://schemas.microsoft.com/office/drawing/2014/main" id="{AA7D2E97-EE84-414A-93DD-FFBEA81FF7CA}"/>
            </a:ext>
          </a:extLst>
        </xdr:cNvPr>
        <xdr:cNvSpPr/>
      </xdr:nvSpPr>
      <xdr:spPr bwMode="auto">
        <a:xfrm>
          <a:off x="7315200" y="73621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34</xdr:row>
      <xdr:rowOff>142240</xdr:rowOff>
    </xdr:from>
    <xdr:to>
      <xdr:col>11</xdr:col>
      <xdr:colOff>63500</xdr:colOff>
      <xdr:row>35</xdr:row>
      <xdr:rowOff>0</xdr:rowOff>
    </xdr:to>
    <xdr:sp macro="" textlink="">
      <xdr:nvSpPr>
        <xdr:cNvPr id="216" name="nuNumber: 230" hidden="1">
          <a:extLst>
            <a:ext uri="{FF2B5EF4-FFF2-40B4-BE49-F238E27FC236}">
              <a16:creationId xmlns:a16="http://schemas.microsoft.com/office/drawing/2014/main" id="{19FA72C3-DBBD-4EEB-94D8-67A02EDE163D}"/>
            </a:ext>
          </a:extLst>
        </xdr:cNvPr>
        <xdr:cNvSpPr/>
      </xdr:nvSpPr>
      <xdr:spPr bwMode="auto">
        <a:xfrm>
          <a:off x="8105775" y="73621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34</xdr:row>
      <xdr:rowOff>142240</xdr:rowOff>
    </xdr:from>
    <xdr:to>
      <xdr:col>12</xdr:col>
      <xdr:colOff>63500</xdr:colOff>
      <xdr:row>35</xdr:row>
      <xdr:rowOff>0</xdr:rowOff>
    </xdr:to>
    <xdr:sp macro="" textlink="">
      <xdr:nvSpPr>
        <xdr:cNvPr id="217" name="nuNumber: 231" hidden="1">
          <a:extLst>
            <a:ext uri="{FF2B5EF4-FFF2-40B4-BE49-F238E27FC236}">
              <a16:creationId xmlns:a16="http://schemas.microsoft.com/office/drawing/2014/main" id="{1095741A-1C5F-4650-A000-BD5DBEA53F16}"/>
            </a:ext>
          </a:extLst>
        </xdr:cNvPr>
        <xdr:cNvSpPr/>
      </xdr:nvSpPr>
      <xdr:spPr bwMode="auto">
        <a:xfrm>
          <a:off x="8972550" y="73621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34</xdr:row>
      <xdr:rowOff>142240</xdr:rowOff>
    </xdr:from>
    <xdr:to>
      <xdr:col>13</xdr:col>
      <xdr:colOff>63500</xdr:colOff>
      <xdr:row>35</xdr:row>
      <xdr:rowOff>0</xdr:rowOff>
    </xdr:to>
    <xdr:sp macro="" textlink="">
      <xdr:nvSpPr>
        <xdr:cNvPr id="218" name="nuNumber: 232" hidden="1">
          <a:extLst>
            <a:ext uri="{FF2B5EF4-FFF2-40B4-BE49-F238E27FC236}">
              <a16:creationId xmlns:a16="http://schemas.microsoft.com/office/drawing/2014/main" id="{DB6C1C16-69BE-43B5-9BB5-7B6646D23AD1}"/>
            </a:ext>
          </a:extLst>
        </xdr:cNvPr>
        <xdr:cNvSpPr/>
      </xdr:nvSpPr>
      <xdr:spPr bwMode="auto">
        <a:xfrm>
          <a:off x="9753600" y="73621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34</xdr:row>
      <xdr:rowOff>142240</xdr:rowOff>
    </xdr:from>
    <xdr:to>
      <xdr:col>14</xdr:col>
      <xdr:colOff>63500</xdr:colOff>
      <xdr:row>35</xdr:row>
      <xdr:rowOff>0</xdr:rowOff>
    </xdr:to>
    <xdr:sp macro="" textlink="">
      <xdr:nvSpPr>
        <xdr:cNvPr id="219" name="nuNumber: 233" hidden="1">
          <a:extLst>
            <a:ext uri="{FF2B5EF4-FFF2-40B4-BE49-F238E27FC236}">
              <a16:creationId xmlns:a16="http://schemas.microsoft.com/office/drawing/2014/main" id="{0A20BF09-5393-4BC7-A17B-82E89A579592}"/>
            </a:ext>
          </a:extLst>
        </xdr:cNvPr>
        <xdr:cNvSpPr/>
      </xdr:nvSpPr>
      <xdr:spPr bwMode="auto">
        <a:xfrm>
          <a:off x="10515600" y="73621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34</xdr:row>
      <xdr:rowOff>142240</xdr:rowOff>
    </xdr:from>
    <xdr:to>
      <xdr:col>15</xdr:col>
      <xdr:colOff>63500</xdr:colOff>
      <xdr:row>35</xdr:row>
      <xdr:rowOff>0</xdr:rowOff>
    </xdr:to>
    <xdr:sp macro="" textlink="">
      <xdr:nvSpPr>
        <xdr:cNvPr id="220" name="nuNumber: 234" hidden="1">
          <a:extLst>
            <a:ext uri="{FF2B5EF4-FFF2-40B4-BE49-F238E27FC236}">
              <a16:creationId xmlns:a16="http://schemas.microsoft.com/office/drawing/2014/main" id="{F91C9BE7-5990-440E-B336-056E8C55EDEE}"/>
            </a:ext>
          </a:extLst>
        </xdr:cNvPr>
        <xdr:cNvSpPr/>
      </xdr:nvSpPr>
      <xdr:spPr bwMode="auto">
        <a:xfrm>
          <a:off x="11325225" y="73621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34</xdr:row>
      <xdr:rowOff>142240</xdr:rowOff>
    </xdr:from>
    <xdr:to>
      <xdr:col>16</xdr:col>
      <xdr:colOff>63500</xdr:colOff>
      <xdr:row>35</xdr:row>
      <xdr:rowOff>0</xdr:rowOff>
    </xdr:to>
    <xdr:sp macro="" textlink="">
      <xdr:nvSpPr>
        <xdr:cNvPr id="221" name="nuNumber: 235" hidden="1">
          <a:extLst>
            <a:ext uri="{FF2B5EF4-FFF2-40B4-BE49-F238E27FC236}">
              <a16:creationId xmlns:a16="http://schemas.microsoft.com/office/drawing/2014/main" id="{FDB44E70-D0C5-4981-87C2-EEA00B38591B}"/>
            </a:ext>
          </a:extLst>
        </xdr:cNvPr>
        <xdr:cNvSpPr/>
      </xdr:nvSpPr>
      <xdr:spPr bwMode="auto">
        <a:xfrm>
          <a:off x="12106275" y="73621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34</xdr:row>
      <xdr:rowOff>142240</xdr:rowOff>
    </xdr:from>
    <xdr:to>
      <xdr:col>17</xdr:col>
      <xdr:colOff>63500</xdr:colOff>
      <xdr:row>35</xdr:row>
      <xdr:rowOff>0</xdr:rowOff>
    </xdr:to>
    <xdr:sp macro="" textlink="">
      <xdr:nvSpPr>
        <xdr:cNvPr id="222" name="nuNumber: 236" hidden="1">
          <a:extLst>
            <a:ext uri="{FF2B5EF4-FFF2-40B4-BE49-F238E27FC236}">
              <a16:creationId xmlns:a16="http://schemas.microsoft.com/office/drawing/2014/main" id="{918DAE97-81E2-4F71-BC65-5744A6BFF714}"/>
            </a:ext>
          </a:extLst>
        </xdr:cNvPr>
        <xdr:cNvSpPr/>
      </xdr:nvSpPr>
      <xdr:spPr bwMode="auto">
        <a:xfrm>
          <a:off x="12887325" y="73621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34</xdr:row>
      <xdr:rowOff>142240</xdr:rowOff>
    </xdr:from>
    <xdr:to>
      <xdr:col>18</xdr:col>
      <xdr:colOff>63499</xdr:colOff>
      <xdr:row>35</xdr:row>
      <xdr:rowOff>0</xdr:rowOff>
    </xdr:to>
    <xdr:sp macro="" textlink="">
      <xdr:nvSpPr>
        <xdr:cNvPr id="223" name="nuNumber: 237" hidden="1">
          <a:extLst>
            <a:ext uri="{FF2B5EF4-FFF2-40B4-BE49-F238E27FC236}">
              <a16:creationId xmlns:a16="http://schemas.microsoft.com/office/drawing/2014/main" id="{D95EC918-D4DB-4409-B7AC-9499724A0409}"/>
            </a:ext>
          </a:extLst>
        </xdr:cNvPr>
        <xdr:cNvSpPr/>
      </xdr:nvSpPr>
      <xdr:spPr bwMode="auto">
        <a:xfrm>
          <a:off x="13624559" y="7362190"/>
          <a:ext cx="5969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34</xdr:row>
      <xdr:rowOff>142240</xdr:rowOff>
    </xdr:from>
    <xdr:to>
      <xdr:col>19</xdr:col>
      <xdr:colOff>63500</xdr:colOff>
      <xdr:row>35</xdr:row>
      <xdr:rowOff>0</xdr:rowOff>
    </xdr:to>
    <xdr:sp macro="" textlink="">
      <xdr:nvSpPr>
        <xdr:cNvPr id="224" name="nuNumber: 238" hidden="1">
          <a:extLst>
            <a:ext uri="{FF2B5EF4-FFF2-40B4-BE49-F238E27FC236}">
              <a16:creationId xmlns:a16="http://schemas.microsoft.com/office/drawing/2014/main" id="{FD148232-6AA2-4A53-BB53-4107FC575A2E}"/>
            </a:ext>
          </a:extLst>
        </xdr:cNvPr>
        <xdr:cNvSpPr/>
      </xdr:nvSpPr>
      <xdr:spPr bwMode="auto">
        <a:xfrm>
          <a:off x="14382750" y="73621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34</xdr:row>
      <xdr:rowOff>142240</xdr:rowOff>
    </xdr:from>
    <xdr:to>
      <xdr:col>20</xdr:col>
      <xdr:colOff>63500</xdr:colOff>
      <xdr:row>35</xdr:row>
      <xdr:rowOff>0</xdr:rowOff>
    </xdr:to>
    <xdr:sp macro="" textlink="">
      <xdr:nvSpPr>
        <xdr:cNvPr id="225" name="nuNumber: 239" hidden="1">
          <a:extLst>
            <a:ext uri="{FF2B5EF4-FFF2-40B4-BE49-F238E27FC236}">
              <a16:creationId xmlns:a16="http://schemas.microsoft.com/office/drawing/2014/main" id="{B87765D2-6081-41E9-9FEE-5BDF63BBA632}"/>
            </a:ext>
          </a:extLst>
        </xdr:cNvPr>
        <xdr:cNvSpPr/>
      </xdr:nvSpPr>
      <xdr:spPr bwMode="auto">
        <a:xfrm>
          <a:off x="15135225" y="73621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34</xdr:row>
      <xdr:rowOff>142240</xdr:rowOff>
    </xdr:from>
    <xdr:to>
      <xdr:col>21</xdr:col>
      <xdr:colOff>63500</xdr:colOff>
      <xdr:row>35</xdr:row>
      <xdr:rowOff>0</xdr:rowOff>
    </xdr:to>
    <xdr:sp macro="" textlink="">
      <xdr:nvSpPr>
        <xdr:cNvPr id="226" name="nuNumber: 240" hidden="1">
          <a:extLst>
            <a:ext uri="{FF2B5EF4-FFF2-40B4-BE49-F238E27FC236}">
              <a16:creationId xmlns:a16="http://schemas.microsoft.com/office/drawing/2014/main" id="{F166EF8D-3EA4-4E16-8370-D37B4876FF04}"/>
            </a:ext>
          </a:extLst>
        </xdr:cNvPr>
        <xdr:cNvSpPr/>
      </xdr:nvSpPr>
      <xdr:spPr bwMode="auto">
        <a:xfrm>
          <a:off x="15849600" y="73621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35</xdr:row>
      <xdr:rowOff>142240</xdr:rowOff>
    </xdr:from>
    <xdr:to>
      <xdr:col>6</xdr:col>
      <xdr:colOff>63500</xdr:colOff>
      <xdr:row>36</xdr:row>
      <xdr:rowOff>0</xdr:rowOff>
    </xdr:to>
    <xdr:sp macro="" textlink="">
      <xdr:nvSpPr>
        <xdr:cNvPr id="227" name="nuNumber: 241" hidden="1">
          <a:extLst>
            <a:ext uri="{FF2B5EF4-FFF2-40B4-BE49-F238E27FC236}">
              <a16:creationId xmlns:a16="http://schemas.microsoft.com/office/drawing/2014/main" id="{D05241B4-E588-46CE-B686-3B7C0378CAD8}"/>
            </a:ext>
          </a:extLst>
        </xdr:cNvPr>
        <xdr:cNvSpPr/>
      </xdr:nvSpPr>
      <xdr:spPr bwMode="auto">
        <a:xfrm>
          <a:off x="3800475" y="75717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35</xdr:row>
      <xdr:rowOff>142240</xdr:rowOff>
    </xdr:from>
    <xdr:to>
      <xdr:col>7</xdr:col>
      <xdr:colOff>63500</xdr:colOff>
      <xdr:row>36</xdr:row>
      <xdr:rowOff>0</xdr:rowOff>
    </xdr:to>
    <xdr:sp macro="" textlink="">
      <xdr:nvSpPr>
        <xdr:cNvPr id="228" name="nuNumber: 242" hidden="1">
          <a:extLst>
            <a:ext uri="{FF2B5EF4-FFF2-40B4-BE49-F238E27FC236}">
              <a16:creationId xmlns:a16="http://schemas.microsoft.com/office/drawing/2014/main" id="{86F93682-1F3B-4045-8E89-F836B27BC234}"/>
            </a:ext>
          </a:extLst>
        </xdr:cNvPr>
        <xdr:cNvSpPr/>
      </xdr:nvSpPr>
      <xdr:spPr bwMode="auto">
        <a:xfrm>
          <a:off x="4676775" y="75717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35</xdr:row>
      <xdr:rowOff>142240</xdr:rowOff>
    </xdr:from>
    <xdr:to>
      <xdr:col>8</xdr:col>
      <xdr:colOff>63500</xdr:colOff>
      <xdr:row>36</xdr:row>
      <xdr:rowOff>0</xdr:rowOff>
    </xdr:to>
    <xdr:sp macro="" textlink="">
      <xdr:nvSpPr>
        <xdr:cNvPr id="229" name="nuNumber: 243" hidden="1">
          <a:extLst>
            <a:ext uri="{FF2B5EF4-FFF2-40B4-BE49-F238E27FC236}">
              <a16:creationId xmlns:a16="http://schemas.microsoft.com/office/drawing/2014/main" id="{9F71277B-B06C-45BC-A9DD-72796445A458}"/>
            </a:ext>
          </a:extLst>
        </xdr:cNvPr>
        <xdr:cNvSpPr/>
      </xdr:nvSpPr>
      <xdr:spPr bwMode="auto">
        <a:xfrm>
          <a:off x="5562600" y="75717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35</xdr:row>
      <xdr:rowOff>142240</xdr:rowOff>
    </xdr:from>
    <xdr:to>
      <xdr:col>9</xdr:col>
      <xdr:colOff>63500</xdr:colOff>
      <xdr:row>36</xdr:row>
      <xdr:rowOff>0</xdr:rowOff>
    </xdr:to>
    <xdr:sp macro="" textlink="">
      <xdr:nvSpPr>
        <xdr:cNvPr id="230" name="nuNumber: 244" hidden="1">
          <a:extLst>
            <a:ext uri="{FF2B5EF4-FFF2-40B4-BE49-F238E27FC236}">
              <a16:creationId xmlns:a16="http://schemas.microsoft.com/office/drawing/2014/main" id="{819BC95D-53CC-463F-A154-5EC53D842CF9}"/>
            </a:ext>
          </a:extLst>
        </xdr:cNvPr>
        <xdr:cNvSpPr/>
      </xdr:nvSpPr>
      <xdr:spPr bwMode="auto">
        <a:xfrm>
          <a:off x="6467475" y="75717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35</xdr:row>
      <xdr:rowOff>142240</xdr:rowOff>
    </xdr:from>
    <xdr:to>
      <xdr:col>9</xdr:col>
      <xdr:colOff>63500</xdr:colOff>
      <xdr:row>36</xdr:row>
      <xdr:rowOff>0</xdr:rowOff>
    </xdr:to>
    <xdr:sp macro="" textlink="">
      <xdr:nvSpPr>
        <xdr:cNvPr id="231" name="nuNumber: 245" hidden="1">
          <a:extLst>
            <a:ext uri="{FF2B5EF4-FFF2-40B4-BE49-F238E27FC236}">
              <a16:creationId xmlns:a16="http://schemas.microsoft.com/office/drawing/2014/main" id="{A3C0FC24-E927-4C33-848B-8A451D9256CA}"/>
            </a:ext>
          </a:extLst>
        </xdr:cNvPr>
        <xdr:cNvSpPr/>
      </xdr:nvSpPr>
      <xdr:spPr bwMode="auto">
        <a:xfrm>
          <a:off x="6467475" y="75717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35</xdr:row>
      <xdr:rowOff>142240</xdr:rowOff>
    </xdr:from>
    <xdr:to>
      <xdr:col>11</xdr:col>
      <xdr:colOff>63500</xdr:colOff>
      <xdr:row>36</xdr:row>
      <xdr:rowOff>0</xdr:rowOff>
    </xdr:to>
    <xdr:sp macro="" textlink="">
      <xdr:nvSpPr>
        <xdr:cNvPr id="232" name="nuNumber: 246" hidden="1">
          <a:extLst>
            <a:ext uri="{FF2B5EF4-FFF2-40B4-BE49-F238E27FC236}">
              <a16:creationId xmlns:a16="http://schemas.microsoft.com/office/drawing/2014/main" id="{F5ACC9EC-B9D5-4D1C-A68A-9C699E9ACB87}"/>
            </a:ext>
          </a:extLst>
        </xdr:cNvPr>
        <xdr:cNvSpPr/>
      </xdr:nvSpPr>
      <xdr:spPr bwMode="auto">
        <a:xfrm>
          <a:off x="8105775" y="75717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35</xdr:row>
      <xdr:rowOff>142240</xdr:rowOff>
    </xdr:from>
    <xdr:to>
      <xdr:col>12</xdr:col>
      <xdr:colOff>63500</xdr:colOff>
      <xdr:row>36</xdr:row>
      <xdr:rowOff>0</xdr:rowOff>
    </xdr:to>
    <xdr:sp macro="" textlink="">
      <xdr:nvSpPr>
        <xdr:cNvPr id="233" name="nuNumber: 247" hidden="1">
          <a:extLst>
            <a:ext uri="{FF2B5EF4-FFF2-40B4-BE49-F238E27FC236}">
              <a16:creationId xmlns:a16="http://schemas.microsoft.com/office/drawing/2014/main" id="{BE9DC505-911F-43DF-A363-E6A6CD6415C6}"/>
            </a:ext>
          </a:extLst>
        </xdr:cNvPr>
        <xdr:cNvSpPr/>
      </xdr:nvSpPr>
      <xdr:spPr bwMode="auto">
        <a:xfrm>
          <a:off x="8972550" y="75717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35</xdr:row>
      <xdr:rowOff>142240</xdr:rowOff>
    </xdr:from>
    <xdr:to>
      <xdr:col>13</xdr:col>
      <xdr:colOff>63500</xdr:colOff>
      <xdr:row>36</xdr:row>
      <xdr:rowOff>0</xdr:rowOff>
    </xdr:to>
    <xdr:sp macro="" textlink="">
      <xdr:nvSpPr>
        <xdr:cNvPr id="234" name="nuNumber: 248" hidden="1">
          <a:extLst>
            <a:ext uri="{FF2B5EF4-FFF2-40B4-BE49-F238E27FC236}">
              <a16:creationId xmlns:a16="http://schemas.microsoft.com/office/drawing/2014/main" id="{C65331A9-0826-4608-A958-3A777FB4497C}"/>
            </a:ext>
          </a:extLst>
        </xdr:cNvPr>
        <xdr:cNvSpPr/>
      </xdr:nvSpPr>
      <xdr:spPr bwMode="auto">
        <a:xfrm>
          <a:off x="9753600" y="75717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35</xdr:row>
      <xdr:rowOff>142240</xdr:rowOff>
    </xdr:from>
    <xdr:to>
      <xdr:col>14</xdr:col>
      <xdr:colOff>63500</xdr:colOff>
      <xdr:row>36</xdr:row>
      <xdr:rowOff>0</xdr:rowOff>
    </xdr:to>
    <xdr:sp macro="" textlink="">
      <xdr:nvSpPr>
        <xdr:cNvPr id="235" name="nuNumber: 249" hidden="1">
          <a:extLst>
            <a:ext uri="{FF2B5EF4-FFF2-40B4-BE49-F238E27FC236}">
              <a16:creationId xmlns:a16="http://schemas.microsoft.com/office/drawing/2014/main" id="{68C718C4-5A39-4794-97D5-67C148F23846}"/>
            </a:ext>
          </a:extLst>
        </xdr:cNvPr>
        <xdr:cNvSpPr/>
      </xdr:nvSpPr>
      <xdr:spPr bwMode="auto">
        <a:xfrm>
          <a:off x="10515600" y="75717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35</xdr:row>
      <xdr:rowOff>142240</xdr:rowOff>
    </xdr:from>
    <xdr:to>
      <xdr:col>15</xdr:col>
      <xdr:colOff>63500</xdr:colOff>
      <xdr:row>36</xdr:row>
      <xdr:rowOff>0</xdr:rowOff>
    </xdr:to>
    <xdr:sp macro="" textlink="">
      <xdr:nvSpPr>
        <xdr:cNvPr id="236" name="nuNumber: 250" hidden="1">
          <a:extLst>
            <a:ext uri="{FF2B5EF4-FFF2-40B4-BE49-F238E27FC236}">
              <a16:creationId xmlns:a16="http://schemas.microsoft.com/office/drawing/2014/main" id="{C5CFA41E-2B69-4689-99DD-AACC86E093AC}"/>
            </a:ext>
          </a:extLst>
        </xdr:cNvPr>
        <xdr:cNvSpPr/>
      </xdr:nvSpPr>
      <xdr:spPr bwMode="auto">
        <a:xfrm>
          <a:off x="11325225" y="75717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35</xdr:row>
      <xdr:rowOff>142240</xdr:rowOff>
    </xdr:from>
    <xdr:to>
      <xdr:col>16</xdr:col>
      <xdr:colOff>63500</xdr:colOff>
      <xdr:row>36</xdr:row>
      <xdr:rowOff>0</xdr:rowOff>
    </xdr:to>
    <xdr:sp macro="" textlink="">
      <xdr:nvSpPr>
        <xdr:cNvPr id="237" name="nuNumber: 251" hidden="1">
          <a:extLst>
            <a:ext uri="{FF2B5EF4-FFF2-40B4-BE49-F238E27FC236}">
              <a16:creationId xmlns:a16="http://schemas.microsoft.com/office/drawing/2014/main" id="{534003A5-C753-4166-9D69-0F5A49C5E515}"/>
            </a:ext>
          </a:extLst>
        </xdr:cNvPr>
        <xdr:cNvSpPr/>
      </xdr:nvSpPr>
      <xdr:spPr bwMode="auto">
        <a:xfrm>
          <a:off x="12106275" y="75717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35</xdr:row>
      <xdr:rowOff>142240</xdr:rowOff>
    </xdr:from>
    <xdr:to>
      <xdr:col>17</xdr:col>
      <xdr:colOff>63500</xdr:colOff>
      <xdr:row>36</xdr:row>
      <xdr:rowOff>0</xdr:rowOff>
    </xdr:to>
    <xdr:sp macro="" textlink="">
      <xdr:nvSpPr>
        <xdr:cNvPr id="238" name="nuNumber: 252" hidden="1">
          <a:extLst>
            <a:ext uri="{FF2B5EF4-FFF2-40B4-BE49-F238E27FC236}">
              <a16:creationId xmlns:a16="http://schemas.microsoft.com/office/drawing/2014/main" id="{BC8EB4C2-1925-4681-9E40-2D9B0E04B6F0}"/>
            </a:ext>
          </a:extLst>
        </xdr:cNvPr>
        <xdr:cNvSpPr/>
      </xdr:nvSpPr>
      <xdr:spPr bwMode="auto">
        <a:xfrm>
          <a:off x="12887325" y="75717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35</xdr:row>
      <xdr:rowOff>142240</xdr:rowOff>
    </xdr:from>
    <xdr:to>
      <xdr:col>18</xdr:col>
      <xdr:colOff>63499</xdr:colOff>
      <xdr:row>36</xdr:row>
      <xdr:rowOff>0</xdr:rowOff>
    </xdr:to>
    <xdr:sp macro="" textlink="">
      <xdr:nvSpPr>
        <xdr:cNvPr id="239" name="nuNumber: 253" hidden="1">
          <a:extLst>
            <a:ext uri="{FF2B5EF4-FFF2-40B4-BE49-F238E27FC236}">
              <a16:creationId xmlns:a16="http://schemas.microsoft.com/office/drawing/2014/main" id="{BA8925AF-5F93-44F5-8D4E-11799BE7FC6D}"/>
            </a:ext>
          </a:extLst>
        </xdr:cNvPr>
        <xdr:cNvSpPr/>
      </xdr:nvSpPr>
      <xdr:spPr bwMode="auto">
        <a:xfrm>
          <a:off x="13624559" y="7571740"/>
          <a:ext cx="5969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35</xdr:row>
      <xdr:rowOff>142240</xdr:rowOff>
    </xdr:from>
    <xdr:to>
      <xdr:col>19</xdr:col>
      <xdr:colOff>63500</xdr:colOff>
      <xdr:row>36</xdr:row>
      <xdr:rowOff>0</xdr:rowOff>
    </xdr:to>
    <xdr:sp macro="" textlink="">
      <xdr:nvSpPr>
        <xdr:cNvPr id="240" name="nuNumber: 254" hidden="1">
          <a:extLst>
            <a:ext uri="{FF2B5EF4-FFF2-40B4-BE49-F238E27FC236}">
              <a16:creationId xmlns:a16="http://schemas.microsoft.com/office/drawing/2014/main" id="{5CCEED7D-F553-44C2-97E9-F476D3A58CD8}"/>
            </a:ext>
          </a:extLst>
        </xdr:cNvPr>
        <xdr:cNvSpPr/>
      </xdr:nvSpPr>
      <xdr:spPr bwMode="auto">
        <a:xfrm>
          <a:off x="14382750" y="75717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35</xdr:row>
      <xdr:rowOff>142240</xdr:rowOff>
    </xdr:from>
    <xdr:to>
      <xdr:col>20</xdr:col>
      <xdr:colOff>63500</xdr:colOff>
      <xdr:row>36</xdr:row>
      <xdr:rowOff>0</xdr:rowOff>
    </xdr:to>
    <xdr:sp macro="" textlink="">
      <xdr:nvSpPr>
        <xdr:cNvPr id="241" name="nuNumber: 255" hidden="1">
          <a:extLst>
            <a:ext uri="{FF2B5EF4-FFF2-40B4-BE49-F238E27FC236}">
              <a16:creationId xmlns:a16="http://schemas.microsoft.com/office/drawing/2014/main" id="{AF431359-7B4B-4BEF-89BD-44DB51F55EA0}"/>
            </a:ext>
          </a:extLst>
        </xdr:cNvPr>
        <xdr:cNvSpPr/>
      </xdr:nvSpPr>
      <xdr:spPr bwMode="auto">
        <a:xfrm>
          <a:off x="15135225" y="75717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35</xdr:row>
      <xdr:rowOff>142240</xdr:rowOff>
    </xdr:from>
    <xdr:to>
      <xdr:col>21</xdr:col>
      <xdr:colOff>63500</xdr:colOff>
      <xdr:row>36</xdr:row>
      <xdr:rowOff>0</xdr:rowOff>
    </xdr:to>
    <xdr:sp macro="" textlink="">
      <xdr:nvSpPr>
        <xdr:cNvPr id="242" name="nuNumber: 256" hidden="1">
          <a:extLst>
            <a:ext uri="{FF2B5EF4-FFF2-40B4-BE49-F238E27FC236}">
              <a16:creationId xmlns:a16="http://schemas.microsoft.com/office/drawing/2014/main" id="{12479681-0D96-40E1-9AFA-64BDEFEA9344}"/>
            </a:ext>
          </a:extLst>
        </xdr:cNvPr>
        <xdr:cNvSpPr/>
      </xdr:nvSpPr>
      <xdr:spPr bwMode="auto">
        <a:xfrm>
          <a:off x="15849600" y="75717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39</xdr:row>
      <xdr:rowOff>142240</xdr:rowOff>
    </xdr:from>
    <xdr:to>
      <xdr:col>7</xdr:col>
      <xdr:colOff>63500</xdr:colOff>
      <xdr:row>40</xdr:row>
      <xdr:rowOff>0</xdr:rowOff>
    </xdr:to>
    <xdr:sp macro="" textlink="">
      <xdr:nvSpPr>
        <xdr:cNvPr id="243" name="nuNumber: 257" hidden="1">
          <a:extLst>
            <a:ext uri="{FF2B5EF4-FFF2-40B4-BE49-F238E27FC236}">
              <a16:creationId xmlns:a16="http://schemas.microsoft.com/office/drawing/2014/main" id="{5762BF10-1D99-4C46-8049-A5814F996D48}"/>
            </a:ext>
          </a:extLst>
        </xdr:cNvPr>
        <xdr:cNvSpPr/>
      </xdr:nvSpPr>
      <xdr:spPr bwMode="auto">
        <a:xfrm>
          <a:off x="4676775" y="84480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39</xdr:row>
      <xdr:rowOff>142240</xdr:rowOff>
    </xdr:from>
    <xdr:to>
      <xdr:col>8</xdr:col>
      <xdr:colOff>63500</xdr:colOff>
      <xdr:row>40</xdr:row>
      <xdr:rowOff>0</xdr:rowOff>
    </xdr:to>
    <xdr:sp macro="" textlink="">
      <xdr:nvSpPr>
        <xdr:cNvPr id="244" name="nuNumber: 258" hidden="1">
          <a:extLst>
            <a:ext uri="{FF2B5EF4-FFF2-40B4-BE49-F238E27FC236}">
              <a16:creationId xmlns:a16="http://schemas.microsoft.com/office/drawing/2014/main" id="{14B8FA13-CB5C-4291-A757-2E8F4E112675}"/>
            </a:ext>
          </a:extLst>
        </xdr:cNvPr>
        <xdr:cNvSpPr/>
      </xdr:nvSpPr>
      <xdr:spPr bwMode="auto">
        <a:xfrm>
          <a:off x="5562600" y="84480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39</xdr:row>
      <xdr:rowOff>142240</xdr:rowOff>
    </xdr:from>
    <xdr:to>
      <xdr:col>9</xdr:col>
      <xdr:colOff>63500</xdr:colOff>
      <xdr:row>40</xdr:row>
      <xdr:rowOff>0</xdr:rowOff>
    </xdr:to>
    <xdr:sp macro="" textlink="">
      <xdr:nvSpPr>
        <xdr:cNvPr id="245" name="nuNumber: 259" hidden="1">
          <a:extLst>
            <a:ext uri="{FF2B5EF4-FFF2-40B4-BE49-F238E27FC236}">
              <a16:creationId xmlns:a16="http://schemas.microsoft.com/office/drawing/2014/main" id="{9D71EE88-0578-4CB6-8B36-28E141F394A3}"/>
            </a:ext>
          </a:extLst>
        </xdr:cNvPr>
        <xdr:cNvSpPr/>
      </xdr:nvSpPr>
      <xdr:spPr bwMode="auto">
        <a:xfrm>
          <a:off x="6467475" y="84480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39</xdr:row>
      <xdr:rowOff>142240</xdr:rowOff>
    </xdr:from>
    <xdr:to>
      <xdr:col>11</xdr:col>
      <xdr:colOff>63500</xdr:colOff>
      <xdr:row>40</xdr:row>
      <xdr:rowOff>0</xdr:rowOff>
    </xdr:to>
    <xdr:sp macro="" textlink="">
      <xdr:nvSpPr>
        <xdr:cNvPr id="246" name="nuNumber: 260" hidden="1">
          <a:extLst>
            <a:ext uri="{FF2B5EF4-FFF2-40B4-BE49-F238E27FC236}">
              <a16:creationId xmlns:a16="http://schemas.microsoft.com/office/drawing/2014/main" id="{818C246C-7B06-4E36-9996-F92925850864}"/>
            </a:ext>
          </a:extLst>
        </xdr:cNvPr>
        <xdr:cNvSpPr/>
      </xdr:nvSpPr>
      <xdr:spPr bwMode="auto">
        <a:xfrm>
          <a:off x="8105775" y="84480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39</xdr:row>
      <xdr:rowOff>142240</xdr:rowOff>
    </xdr:from>
    <xdr:to>
      <xdr:col>12</xdr:col>
      <xdr:colOff>63500</xdr:colOff>
      <xdr:row>40</xdr:row>
      <xdr:rowOff>0</xdr:rowOff>
    </xdr:to>
    <xdr:sp macro="" textlink="">
      <xdr:nvSpPr>
        <xdr:cNvPr id="247" name="nuNumber: 261" hidden="1">
          <a:extLst>
            <a:ext uri="{FF2B5EF4-FFF2-40B4-BE49-F238E27FC236}">
              <a16:creationId xmlns:a16="http://schemas.microsoft.com/office/drawing/2014/main" id="{880906DE-7E94-4059-BC08-D1A16E6BE3E3}"/>
            </a:ext>
          </a:extLst>
        </xdr:cNvPr>
        <xdr:cNvSpPr/>
      </xdr:nvSpPr>
      <xdr:spPr bwMode="auto">
        <a:xfrm>
          <a:off x="8972550" y="84480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39</xdr:row>
      <xdr:rowOff>142240</xdr:rowOff>
    </xdr:from>
    <xdr:to>
      <xdr:col>13</xdr:col>
      <xdr:colOff>63500</xdr:colOff>
      <xdr:row>40</xdr:row>
      <xdr:rowOff>0</xdr:rowOff>
    </xdr:to>
    <xdr:sp macro="" textlink="">
      <xdr:nvSpPr>
        <xdr:cNvPr id="248" name="nuNumber: 262" hidden="1">
          <a:extLst>
            <a:ext uri="{FF2B5EF4-FFF2-40B4-BE49-F238E27FC236}">
              <a16:creationId xmlns:a16="http://schemas.microsoft.com/office/drawing/2014/main" id="{D7187CDE-791A-41EC-A550-DBDA84FE5CCF}"/>
            </a:ext>
          </a:extLst>
        </xdr:cNvPr>
        <xdr:cNvSpPr/>
      </xdr:nvSpPr>
      <xdr:spPr bwMode="auto">
        <a:xfrm>
          <a:off x="9753600" y="84480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39</xdr:row>
      <xdr:rowOff>142240</xdr:rowOff>
    </xdr:from>
    <xdr:to>
      <xdr:col>14</xdr:col>
      <xdr:colOff>63500</xdr:colOff>
      <xdr:row>40</xdr:row>
      <xdr:rowOff>0</xdr:rowOff>
    </xdr:to>
    <xdr:sp macro="" textlink="">
      <xdr:nvSpPr>
        <xdr:cNvPr id="249" name="nuNumber: 263" hidden="1">
          <a:extLst>
            <a:ext uri="{FF2B5EF4-FFF2-40B4-BE49-F238E27FC236}">
              <a16:creationId xmlns:a16="http://schemas.microsoft.com/office/drawing/2014/main" id="{FF1E8C0C-3B07-4F94-9A1D-A3F015AB144B}"/>
            </a:ext>
          </a:extLst>
        </xdr:cNvPr>
        <xdr:cNvSpPr/>
      </xdr:nvSpPr>
      <xdr:spPr bwMode="auto">
        <a:xfrm>
          <a:off x="10515600" y="84480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39</xdr:row>
      <xdr:rowOff>142240</xdr:rowOff>
    </xdr:from>
    <xdr:to>
      <xdr:col>15</xdr:col>
      <xdr:colOff>63500</xdr:colOff>
      <xdr:row>40</xdr:row>
      <xdr:rowOff>0</xdr:rowOff>
    </xdr:to>
    <xdr:sp macro="" textlink="">
      <xdr:nvSpPr>
        <xdr:cNvPr id="250" name="nuNumber: 264" hidden="1">
          <a:extLst>
            <a:ext uri="{FF2B5EF4-FFF2-40B4-BE49-F238E27FC236}">
              <a16:creationId xmlns:a16="http://schemas.microsoft.com/office/drawing/2014/main" id="{F4004D58-6012-440D-B4A2-B8A385BF8276}"/>
            </a:ext>
          </a:extLst>
        </xdr:cNvPr>
        <xdr:cNvSpPr/>
      </xdr:nvSpPr>
      <xdr:spPr bwMode="auto">
        <a:xfrm>
          <a:off x="11325225" y="84480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39</xdr:row>
      <xdr:rowOff>142240</xdr:rowOff>
    </xdr:from>
    <xdr:to>
      <xdr:col>16</xdr:col>
      <xdr:colOff>63500</xdr:colOff>
      <xdr:row>40</xdr:row>
      <xdr:rowOff>0</xdr:rowOff>
    </xdr:to>
    <xdr:sp macro="" textlink="">
      <xdr:nvSpPr>
        <xdr:cNvPr id="251" name="nuNumber: 265" hidden="1">
          <a:extLst>
            <a:ext uri="{FF2B5EF4-FFF2-40B4-BE49-F238E27FC236}">
              <a16:creationId xmlns:a16="http://schemas.microsoft.com/office/drawing/2014/main" id="{4BE95466-8985-455F-A815-C02FFE982B01}"/>
            </a:ext>
          </a:extLst>
        </xdr:cNvPr>
        <xdr:cNvSpPr/>
      </xdr:nvSpPr>
      <xdr:spPr bwMode="auto">
        <a:xfrm>
          <a:off x="12106275" y="84480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39</xdr:row>
      <xdr:rowOff>142240</xdr:rowOff>
    </xdr:from>
    <xdr:to>
      <xdr:col>17</xdr:col>
      <xdr:colOff>63500</xdr:colOff>
      <xdr:row>40</xdr:row>
      <xdr:rowOff>0</xdr:rowOff>
    </xdr:to>
    <xdr:sp macro="" textlink="">
      <xdr:nvSpPr>
        <xdr:cNvPr id="252" name="nuNumber: 266" hidden="1">
          <a:extLst>
            <a:ext uri="{FF2B5EF4-FFF2-40B4-BE49-F238E27FC236}">
              <a16:creationId xmlns:a16="http://schemas.microsoft.com/office/drawing/2014/main" id="{330CE106-7E94-4F4E-8A6A-C021BC4FF351}"/>
            </a:ext>
          </a:extLst>
        </xdr:cNvPr>
        <xdr:cNvSpPr/>
      </xdr:nvSpPr>
      <xdr:spPr bwMode="auto">
        <a:xfrm>
          <a:off x="12887325" y="84480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39</xdr:row>
      <xdr:rowOff>142240</xdr:rowOff>
    </xdr:from>
    <xdr:to>
      <xdr:col>18</xdr:col>
      <xdr:colOff>63499</xdr:colOff>
      <xdr:row>40</xdr:row>
      <xdr:rowOff>0</xdr:rowOff>
    </xdr:to>
    <xdr:sp macro="" textlink="">
      <xdr:nvSpPr>
        <xdr:cNvPr id="253" name="nuNumber: 267" hidden="1">
          <a:extLst>
            <a:ext uri="{FF2B5EF4-FFF2-40B4-BE49-F238E27FC236}">
              <a16:creationId xmlns:a16="http://schemas.microsoft.com/office/drawing/2014/main" id="{A1D23619-D648-4377-8376-260EE38BB4D8}"/>
            </a:ext>
          </a:extLst>
        </xdr:cNvPr>
        <xdr:cNvSpPr/>
      </xdr:nvSpPr>
      <xdr:spPr bwMode="auto">
        <a:xfrm>
          <a:off x="13624559" y="8448040"/>
          <a:ext cx="5969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39</xdr:row>
      <xdr:rowOff>142240</xdr:rowOff>
    </xdr:from>
    <xdr:to>
      <xdr:col>19</xdr:col>
      <xdr:colOff>63500</xdr:colOff>
      <xdr:row>40</xdr:row>
      <xdr:rowOff>0</xdr:rowOff>
    </xdr:to>
    <xdr:sp macro="" textlink="">
      <xdr:nvSpPr>
        <xdr:cNvPr id="254" name="nuNumber: 268" hidden="1">
          <a:extLst>
            <a:ext uri="{FF2B5EF4-FFF2-40B4-BE49-F238E27FC236}">
              <a16:creationId xmlns:a16="http://schemas.microsoft.com/office/drawing/2014/main" id="{0B6F1862-5C26-4AB6-A8CC-2B64551BA099}"/>
            </a:ext>
          </a:extLst>
        </xdr:cNvPr>
        <xdr:cNvSpPr/>
      </xdr:nvSpPr>
      <xdr:spPr bwMode="auto">
        <a:xfrm>
          <a:off x="14382750" y="84480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39</xdr:row>
      <xdr:rowOff>142240</xdr:rowOff>
    </xdr:from>
    <xdr:to>
      <xdr:col>20</xdr:col>
      <xdr:colOff>63500</xdr:colOff>
      <xdr:row>40</xdr:row>
      <xdr:rowOff>0</xdr:rowOff>
    </xdr:to>
    <xdr:sp macro="" textlink="">
      <xdr:nvSpPr>
        <xdr:cNvPr id="255" name="nuNumber: 269" hidden="1">
          <a:extLst>
            <a:ext uri="{FF2B5EF4-FFF2-40B4-BE49-F238E27FC236}">
              <a16:creationId xmlns:a16="http://schemas.microsoft.com/office/drawing/2014/main" id="{4BABA5F8-7C52-4704-94B8-8E8E3503B9C2}"/>
            </a:ext>
          </a:extLst>
        </xdr:cNvPr>
        <xdr:cNvSpPr/>
      </xdr:nvSpPr>
      <xdr:spPr bwMode="auto">
        <a:xfrm>
          <a:off x="15135225" y="84480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39</xdr:row>
      <xdr:rowOff>142240</xdr:rowOff>
    </xdr:from>
    <xdr:to>
      <xdr:col>21</xdr:col>
      <xdr:colOff>63500</xdr:colOff>
      <xdr:row>40</xdr:row>
      <xdr:rowOff>0</xdr:rowOff>
    </xdr:to>
    <xdr:sp macro="" textlink="">
      <xdr:nvSpPr>
        <xdr:cNvPr id="256" name="nuNumber: 270" hidden="1">
          <a:extLst>
            <a:ext uri="{FF2B5EF4-FFF2-40B4-BE49-F238E27FC236}">
              <a16:creationId xmlns:a16="http://schemas.microsoft.com/office/drawing/2014/main" id="{3752B666-FEB0-4EAB-AD77-6B4362CCD7FB}"/>
            </a:ext>
          </a:extLst>
        </xdr:cNvPr>
        <xdr:cNvSpPr/>
      </xdr:nvSpPr>
      <xdr:spPr bwMode="auto">
        <a:xfrm>
          <a:off x="15849600" y="84480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40</xdr:row>
      <xdr:rowOff>142240</xdr:rowOff>
    </xdr:from>
    <xdr:to>
      <xdr:col>8</xdr:col>
      <xdr:colOff>63500</xdr:colOff>
      <xdr:row>41</xdr:row>
      <xdr:rowOff>0</xdr:rowOff>
    </xdr:to>
    <xdr:sp macro="" textlink="">
      <xdr:nvSpPr>
        <xdr:cNvPr id="257" name="nuNumber: 271" hidden="1">
          <a:extLst>
            <a:ext uri="{FF2B5EF4-FFF2-40B4-BE49-F238E27FC236}">
              <a16:creationId xmlns:a16="http://schemas.microsoft.com/office/drawing/2014/main" id="{FB8178CE-6AF4-4AD8-BEF3-EDC2606B7683}"/>
            </a:ext>
          </a:extLst>
        </xdr:cNvPr>
        <xdr:cNvSpPr/>
      </xdr:nvSpPr>
      <xdr:spPr bwMode="auto">
        <a:xfrm>
          <a:off x="5562600" y="86575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41</xdr:row>
      <xdr:rowOff>142240</xdr:rowOff>
    </xdr:from>
    <xdr:to>
      <xdr:col>8</xdr:col>
      <xdr:colOff>63500</xdr:colOff>
      <xdr:row>42</xdr:row>
      <xdr:rowOff>0</xdr:rowOff>
    </xdr:to>
    <xdr:sp macro="" textlink="">
      <xdr:nvSpPr>
        <xdr:cNvPr id="258" name="nuNumber: 272" hidden="1">
          <a:extLst>
            <a:ext uri="{FF2B5EF4-FFF2-40B4-BE49-F238E27FC236}">
              <a16:creationId xmlns:a16="http://schemas.microsoft.com/office/drawing/2014/main" id="{31A111AD-F2D9-481C-A783-9AFC192AED46}"/>
            </a:ext>
          </a:extLst>
        </xdr:cNvPr>
        <xdr:cNvSpPr/>
      </xdr:nvSpPr>
      <xdr:spPr bwMode="auto">
        <a:xfrm>
          <a:off x="5562600" y="88671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42</xdr:row>
      <xdr:rowOff>142240</xdr:rowOff>
    </xdr:from>
    <xdr:to>
      <xdr:col>8</xdr:col>
      <xdr:colOff>63500</xdr:colOff>
      <xdr:row>43</xdr:row>
      <xdr:rowOff>0</xdr:rowOff>
    </xdr:to>
    <xdr:sp macro="" textlink="">
      <xdr:nvSpPr>
        <xdr:cNvPr id="259" name="nuNumber: 273" hidden="1">
          <a:extLst>
            <a:ext uri="{FF2B5EF4-FFF2-40B4-BE49-F238E27FC236}">
              <a16:creationId xmlns:a16="http://schemas.microsoft.com/office/drawing/2014/main" id="{9DE4D662-315A-4B31-B36D-212D05747A40}"/>
            </a:ext>
          </a:extLst>
        </xdr:cNvPr>
        <xdr:cNvSpPr/>
      </xdr:nvSpPr>
      <xdr:spPr bwMode="auto">
        <a:xfrm>
          <a:off x="5562600" y="90766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43</xdr:row>
      <xdr:rowOff>142240</xdr:rowOff>
    </xdr:from>
    <xdr:to>
      <xdr:col>8</xdr:col>
      <xdr:colOff>63500</xdr:colOff>
      <xdr:row>44</xdr:row>
      <xdr:rowOff>0</xdr:rowOff>
    </xdr:to>
    <xdr:sp macro="" textlink="">
      <xdr:nvSpPr>
        <xdr:cNvPr id="260" name="nuNumber: 274" hidden="1">
          <a:extLst>
            <a:ext uri="{FF2B5EF4-FFF2-40B4-BE49-F238E27FC236}">
              <a16:creationId xmlns:a16="http://schemas.microsoft.com/office/drawing/2014/main" id="{33F17FB5-69D9-4D8A-9F38-116FB235E1A7}"/>
            </a:ext>
          </a:extLst>
        </xdr:cNvPr>
        <xdr:cNvSpPr/>
      </xdr:nvSpPr>
      <xdr:spPr bwMode="auto">
        <a:xfrm>
          <a:off x="5562600" y="92862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44</xdr:row>
      <xdr:rowOff>142240</xdr:rowOff>
    </xdr:from>
    <xdr:to>
      <xdr:col>8</xdr:col>
      <xdr:colOff>63500</xdr:colOff>
      <xdr:row>45</xdr:row>
      <xdr:rowOff>0</xdr:rowOff>
    </xdr:to>
    <xdr:sp macro="" textlink="">
      <xdr:nvSpPr>
        <xdr:cNvPr id="261" name="nuNumber: 275" hidden="1">
          <a:extLst>
            <a:ext uri="{FF2B5EF4-FFF2-40B4-BE49-F238E27FC236}">
              <a16:creationId xmlns:a16="http://schemas.microsoft.com/office/drawing/2014/main" id="{9E763AB6-BACD-40EE-B396-3AA2654CEFAD}"/>
            </a:ext>
          </a:extLst>
        </xdr:cNvPr>
        <xdr:cNvSpPr/>
      </xdr:nvSpPr>
      <xdr:spPr bwMode="auto">
        <a:xfrm>
          <a:off x="5562600" y="94957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45</xdr:row>
      <xdr:rowOff>142240</xdr:rowOff>
    </xdr:from>
    <xdr:to>
      <xdr:col>8</xdr:col>
      <xdr:colOff>63500</xdr:colOff>
      <xdr:row>46</xdr:row>
      <xdr:rowOff>0</xdr:rowOff>
    </xdr:to>
    <xdr:sp macro="" textlink="">
      <xdr:nvSpPr>
        <xdr:cNvPr id="262" name="nuNumber: 276" hidden="1">
          <a:extLst>
            <a:ext uri="{FF2B5EF4-FFF2-40B4-BE49-F238E27FC236}">
              <a16:creationId xmlns:a16="http://schemas.microsoft.com/office/drawing/2014/main" id="{3EBF8EEF-B1B9-4479-A7C6-C83DFA1F864E}"/>
            </a:ext>
          </a:extLst>
        </xdr:cNvPr>
        <xdr:cNvSpPr/>
      </xdr:nvSpPr>
      <xdr:spPr bwMode="auto">
        <a:xfrm>
          <a:off x="5562600" y="97053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46</xdr:row>
      <xdr:rowOff>142240</xdr:rowOff>
    </xdr:from>
    <xdr:to>
      <xdr:col>8</xdr:col>
      <xdr:colOff>63500</xdr:colOff>
      <xdr:row>47</xdr:row>
      <xdr:rowOff>0</xdr:rowOff>
    </xdr:to>
    <xdr:sp macro="" textlink="">
      <xdr:nvSpPr>
        <xdr:cNvPr id="263" name="nuNumber: 277" hidden="1">
          <a:extLst>
            <a:ext uri="{FF2B5EF4-FFF2-40B4-BE49-F238E27FC236}">
              <a16:creationId xmlns:a16="http://schemas.microsoft.com/office/drawing/2014/main" id="{A41FA0B1-BCBD-40C3-8BFB-32B0813427F8}"/>
            </a:ext>
          </a:extLst>
        </xdr:cNvPr>
        <xdr:cNvSpPr/>
      </xdr:nvSpPr>
      <xdr:spPr bwMode="auto">
        <a:xfrm>
          <a:off x="5562600" y="99148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47</xdr:row>
      <xdr:rowOff>142240</xdr:rowOff>
    </xdr:from>
    <xdr:to>
      <xdr:col>8</xdr:col>
      <xdr:colOff>63500</xdr:colOff>
      <xdr:row>48</xdr:row>
      <xdr:rowOff>0</xdr:rowOff>
    </xdr:to>
    <xdr:sp macro="" textlink="">
      <xdr:nvSpPr>
        <xdr:cNvPr id="264" name="nuNumber: 278" hidden="1">
          <a:extLst>
            <a:ext uri="{FF2B5EF4-FFF2-40B4-BE49-F238E27FC236}">
              <a16:creationId xmlns:a16="http://schemas.microsoft.com/office/drawing/2014/main" id="{B5069BC6-D237-402A-93A0-C19B088D09F4}"/>
            </a:ext>
          </a:extLst>
        </xdr:cNvPr>
        <xdr:cNvSpPr/>
      </xdr:nvSpPr>
      <xdr:spPr bwMode="auto">
        <a:xfrm>
          <a:off x="5562600" y="1012444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48</xdr:row>
      <xdr:rowOff>142240</xdr:rowOff>
    </xdr:from>
    <xdr:to>
      <xdr:col>8</xdr:col>
      <xdr:colOff>63500</xdr:colOff>
      <xdr:row>49</xdr:row>
      <xdr:rowOff>0</xdr:rowOff>
    </xdr:to>
    <xdr:sp macro="" textlink="">
      <xdr:nvSpPr>
        <xdr:cNvPr id="265" name="nuNumber: 279" hidden="1">
          <a:extLst>
            <a:ext uri="{FF2B5EF4-FFF2-40B4-BE49-F238E27FC236}">
              <a16:creationId xmlns:a16="http://schemas.microsoft.com/office/drawing/2014/main" id="{9357D3F1-20B1-49B0-9CED-1414D3A32C29}"/>
            </a:ext>
          </a:extLst>
        </xdr:cNvPr>
        <xdr:cNvSpPr/>
      </xdr:nvSpPr>
      <xdr:spPr bwMode="auto">
        <a:xfrm>
          <a:off x="5562600" y="10333990"/>
          <a:ext cx="63500" cy="6731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53</xdr:row>
      <xdr:rowOff>119380</xdr:rowOff>
    </xdr:from>
    <xdr:to>
      <xdr:col>6</xdr:col>
      <xdr:colOff>63500</xdr:colOff>
      <xdr:row>54</xdr:row>
      <xdr:rowOff>0</xdr:rowOff>
    </xdr:to>
    <xdr:sp macro="" textlink="">
      <xdr:nvSpPr>
        <xdr:cNvPr id="266" name="nuNumber: 280" hidden="1">
          <a:extLst>
            <a:ext uri="{FF2B5EF4-FFF2-40B4-BE49-F238E27FC236}">
              <a16:creationId xmlns:a16="http://schemas.microsoft.com/office/drawing/2014/main" id="{3EEC44BA-5D4A-431E-8FAC-3ABBBC57B9BC}"/>
            </a:ext>
          </a:extLst>
        </xdr:cNvPr>
        <xdr:cNvSpPr/>
      </xdr:nvSpPr>
      <xdr:spPr bwMode="auto">
        <a:xfrm>
          <a:off x="3800475" y="11358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53</xdr:row>
      <xdr:rowOff>119380</xdr:rowOff>
    </xdr:from>
    <xdr:to>
      <xdr:col>7</xdr:col>
      <xdr:colOff>63500</xdr:colOff>
      <xdr:row>54</xdr:row>
      <xdr:rowOff>0</xdr:rowOff>
    </xdr:to>
    <xdr:sp macro="" textlink="">
      <xdr:nvSpPr>
        <xdr:cNvPr id="267" name="nuNumber: 281" hidden="1">
          <a:extLst>
            <a:ext uri="{FF2B5EF4-FFF2-40B4-BE49-F238E27FC236}">
              <a16:creationId xmlns:a16="http://schemas.microsoft.com/office/drawing/2014/main" id="{9EC77287-36FE-4AE9-A2A4-5FD9749BE331}"/>
            </a:ext>
          </a:extLst>
        </xdr:cNvPr>
        <xdr:cNvSpPr/>
      </xdr:nvSpPr>
      <xdr:spPr bwMode="auto">
        <a:xfrm>
          <a:off x="4676775" y="11358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53</xdr:row>
      <xdr:rowOff>119380</xdr:rowOff>
    </xdr:from>
    <xdr:to>
      <xdr:col>8</xdr:col>
      <xdr:colOff>63500</xdr:colOff>
      <xdr:row>54</xdr:row>
      <xdr:rowOff>0</xdr:rowOff>
    </xdr:to>
    <xdr:sp macro="" textlink="">
      <xdr:nvSpPr>
        <xdr:cNvPr id="268" name="nuNumber: 282" hidden="1">
          <a:extLst>
            <a:ext uri="{FF2B5EF4-FFF2-40B4-BE49-F238E27FC236}">
              <a16:creationId xmlns:a16="http://schemas.microsoft.com/office/drawing/2014/main" id="{269B8DE0-0BAC-4F33-93AC-71955B511E0A}"/>
            </a:ext>
          </a:extLst>
        </xdr:cNvPr>
        <xdr:cNvSpPr/>
      </xdr:nvSpPr>
      <xdr:spPr bwMode="auto">
        <a:xfrm>
          <a:off x="5562600" y="11358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53</xdr:row>
      <xdr:rowOff>119380</xdr:rowOff>
    </xdr:from>
    <xdr:to>
      <xdr:col>9</xdr:col>
      <xdr:colOff>63500</xdr:colOff>
      <xdr:row>54</xdr:row>
      <xdr:rowOff>0</xdr:rowOff>
    </xdr:to>
    <xdr:sp macro="" textlink="">
      <xdr:nvSpPr>
        <xdr:cNvPr id="269" name="nuNumber: 283" hidden="1">
          <a:extLst>
            <a:ext uri="{FF2B5EF4-FFF2-40B4-BE49-F238E27FC236}">
              <a16:creationId xmlns:a16="http://schemas.microsoft.com/office/drawing/2014/main" id="{7E22CEC5-929A-4B5A-AFD2-3FAF71D04AD9}"/>
            </a:ext>
          </a:extLst>
        </xdr:cNvPr>
        <xdr:cNvSpPr/>
      </xdr:nvSpPr>
      <xdr:spPr bwMode="auto">
        <a:xfrm>
          <a:off x="6467475" y="11358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53</xdr:row>
      <xdr:rowOff>119380</xdr:rowOff>
    </xdr:from>
    <xdr:to>
      <xdr:col>9</xdr:col>
      <xdr:colOff>63500</xdr:colOff>
      <xdr:row>54</xdr:row>
      <xdr:rowOff>0</xdr:rowOff>
    </xdr:to>
    <xdr:sp macro="" textlink="">
      <xdr:nvSpPr>
        <xdr:cNvPr id="270" name="nuNumber: 284" hidden="1">
          <a:extLst>
            <a:ext uri="{FF2B5EF4-FFF2-40B4-BE49-F238E27FC236}">
              <a16:creationId xmlns:a16="http://schemas.microsoft.com/office/drawing/2014/main" id="{88CFAF85-95B9-4E4F-8AAF-3D70505C848E}"/>
            </a:ext>
          </a:extLst>
        </xdr:cNvPr>
        <xdr:cNvSpPr/>
      </xdr:nvSpPr>
      <xdr:spPr bwMode="auto">
        <a:xfrm>
          <a:off x="6467475" y="11358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53</xdr:row>
      <xdr:rowOff>119380</xdr:rowOff>
    </xdr:from>
    <xdr:to>
      <xdr:col>10</xdr:col>
      <xdr:colOff>63500</xdr:colOff>
      <xdr:row>54</xdr:row>
      <xdr:rowOff>0</xdr:rowOff>
    </xdr:to>
    <xdr:sp macro="" textlink="">
      <xdr:nvSpPr>
        <xdr:cNvPr id="271" name="nuNumber: 285" hidden="1">
          <a:extLst>
            <a:ext uri="{FF2B5EF4-FFF2-40B4-BE49-F238E27FC236}">
              <a16:creationId xmlns:a16="http://schemas.microsoft.com/office/drawing/2014/main" id="{992F5AE1-6F45-4401-BDB9-2DCA15D0215F}"/>
            </a:ext>
          </a:extLst>
        </xdr:cNvPr>
        <xdr:cNvSpPr/>
      </xdr:nvSpPr>
      <xdr:spPr bwMode="auto">
        <a:xfrm>
          <a:off x="7315200" y="11358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53</xdr:row>
      <xdr:rowOff>119380</xdr:rowOff>
    </xdr:from>
    <xdr:to>
      <xdr:col>11</xdr:col>
      <xdr:colOff>63500</xdr:colOff>
      <xdr:row>54</xdr:row>
      <xdr:rowOff>0</xdr:rowOff>
    </xdr:to>
    <xdr:sp macro="" textlink="">
      <xdr:nvSpPr>
        <xdr:cNvPr id="272" name="nuNumber: 286" hidden="1">
          <a:extLst>
            <a:ext uri="{FF2B5EF4-FFF2-40B4-BE49-F238E27FC236}">
              <a16:creationId xmlns:a16="http://schemas.microsoft.com/office/drawing/2014/main" id="{93AEAD63-2B30-4DFC-98BA-576736CF73DF}"/>
            </a:ext>
          </a:extLst>
        </xdr:cNvPr>
        <xdr:cNvSpPr/>
      </xdr:nvSpPr>
      <xdr:spPr bwMode="auto">
        <a:xfrm>
          <a:off x="8105775" y="11358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53</xdr:row>
      <xdr:rowOff>119380</xdr:rowOff>
    </xdr:from>
    <xdr:to>
      <xdr:col>12</xdr:col>
      <xdr:colOff>63500</xdr:colOff>
      <xdr:row>54</xdr:row>
      <xdr:rowOff>0</xdr:rowOff>
    </xdr:to>
    <xdr:sp macro="" textlink="">
      <xdr:nvSpPr>
        <xdr:cNvPr id="273" name="nuNumber: 287" hidden="1">
          <a:extLst>
            <a:ext uri="{FF2B5EF4-FFF2-40B4-BE49-F238E27FC236}">
              <a16:creationId xmlns:a16="http://schemas.microsoft.com/office/drawing/2014/main" id="{5BD934CE-83BB-4329-BBF5-902E42DE4AAA}"/>
            </a:ext>
          </a:extLst>
        </xdr:cNvPr>
        <xdr:cNvSpPr/>
      </xdr:nvSpPr>
      <xdr:spPr bwMode="auto">
        <a:xfrm>
          <a:off x="8972550" y="11358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53</xdr:row>
      <xdr:rowOff>119380</xdr:rowOff>
    </xdr:from>
    <xdr:to>
      <xdr:col>13</xdr:col>
      <xdr:colOff>63500</xdr:colOff>
      <xdr:row>54</xdr:row>
      <xdr:rowOff>0</xdr:rowOff>
    </xdr:to>
    <xdr:sp macro="" textlink="">
      <xdr:nvSpPr>
        <xdr:cNvPr id="274" name="nuNumber: 288" hidden="1">
          <a:extLst>
            <a:ext uri="{FF2B5EF4-FFF2-40B4-BE49-F238E27FC236}">
              <a16:creationId xmlns:a16="http://schemas.microsoft.com/office/drawing/2014/main" id="{E96BFB9A-46BB-4E4E-8F69-8F899C554DE4}"/>
            </a:ext>
          </a:extLst>
        </xdr:cNvPr>
        <xdr:cNvSpPr/>
      </xdr:nvSpPr>
      <xdr:spPr bwMode="auto">
        <a:xfrm>
          <a:off x="9753600" y="11358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53</xdr:row>
      <xdr:rowOff>119380</xdr:rowOff>
    </xdr:from>
    <xdr:to>
      <xdr:col>14</xdr:col>
      <xdr:colOff>63500</xdr:colOff>
      <xdr:row>54</xdr:row>
      <xdr:rowOff>0</xdr:rowOff>
    </xdr:to>
    <xdr:sp macro="" textlink="">
      <xdr:nvSpPr>
        <xdr:cNvPr id="275" name="nuNumber: 289" hidden="1">
          <a:extLst>
            <a:ext uri="{FF2B5EF4-FFF2-40B4-BE49-F238E27FC236}">
              <a16:creationId xmlns:a16="http://schemas.microsoft.com/office/drawing/2014/main" id="{EB91C3FB-FD5D-40EF-BA81-5E8E2E0069BB}"/>
            </a:ext>
          </a:extLst>
        </xdr:cNvPr>
        <xdr:cNvSpPr/>
      </xdr:nvSpPr>
      <xdr:spPr bwMode="auto">
        <a:xfrm>
          <a:off x="10515600" y="11358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53</xdr:row>
      <xdr:rowOff>119380</xdr:rowOff>
    </xdr:from>
    <xdr:to>
      <xdr:col>15</xdr:col>
      <xdr:colOff>63500</xdr:colOff>
      <xdr:row>54</xdr:row>
      <xdr:rowOff>0</xdr:rowOff>
    </xdr:to>
    <xdr:sp macro="" textlink="">
      <xdr:nvSpPr>
        <xdr:cNvPr id="276" name="nuNumber: 290" hidden="1">
          <a:extLst>
            <a:ext uri="{FF2B5EF4-FFF2-40B4-BE49-F238E27FC236}">
              <a16:creationId xmlns:a16="http://schemas.microsoft.com/office/drawing/2014/main" id="{2504BD0E-E269-492C-8650-377AAA7F9229}"/>
            </a:ext>
          </a:extLst>
        </xdr:cNvPr>
        <xdr:cNvSpPr/>
      </xdr:nvSpPr>
      <xdr:spPr bwMode="auto">
        <a:xfrm>
          <a:off x="11325225" y="11358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53</xdr:row>
      <xdr:rowOff>119380</xdr:rowOff>
    </xdr:from>
    <xdr:to>
      <xdr:col>16</xdr:col>
      <xdr:colOff>63500</xdr:colOff>
      <xdr:row>54</xdr:row>
      <xdr:rowOff>0</xdr:rowOff>
    </xdr:to>
    <xdr:sp macro="" textlink="">
      <xdr:nvSpPr>
        <xdr:cNvPr id="277" name="nuNumber: 291" hidden="1">
          <a:extLst>
            <a:ext uri="{FF2B5EF4-FFF2-40B4-BE49-F238E27FC236}">
              <a16:creationId xmlns:a16="http://schemas.microsoft.com/office/drawing/2014/main" id="{419D9190-8E4E-4024-BD0F-6E6B87A2D4B4}"/>
            </a:ext>
          </a:extLst>
        </xdr:cNvPr>
        <xdr:cNvSpPr/>
      </xdr:nvSpPr>
      <xdr:spPr bwMode="auto">
        <a:xfrm>
          <a:off x="12106275" y="11358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53</xdr:row>
      <xdr:rowOff>119380</xdr:rowOff>
    </xdr:from>
    <xdr:to>
      <xdr:col>17</xdr:col>
      <xdr:colOff>63500</xdr:colOff>
      <xdr:row>54</xdr:row>
      <xdr:rowOff>0</xdr:rowOff>
    </xdr:to>
    <xdr:sp macro="" textlink="">
      <xdr:nvSpPr>
        <xdr:cNvPr id="278" name="nuNumber: 292" hidden="1">
          <a:extLst>
            <a:ext uri="{FF2B5EF4-FFF2-40B4-BE49-F238E27FC236}">
              <a16:creationId xmlns:a16="http://schemas.microsoft.com/office/drawing/2014/main" id="{C1E60E5A-56C0-4D8C-A528-C8DC051F3646}"/>
            </a:ext>
          </a:extLst>
        </xdr:cNvPr>
        <xdr:cNvSpPr/>
      </xdr:nvSpPr>
      <xdr:spPr bwMode="auto">
        <a:xfrm>
          <a:off x="12887325" y="11358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53</xdr:row>
      <xdr:rowOff>119380</xdr:rowOff>
    </xdr:from>
    <xdr:to>
      <xdr:col>18</xdr:col>
      <xdr:colOff>63499</xdr:colOff>
      <xdr:row>54</xdr:row>
      <xdr:rowOff>0</xdr:rowOff>
    </xdr:to>
    <xdr:sp macro="" textlink="">
      <xdr:nvSpPr>
        <xdr:cNvPr id="279" name="nuNumber: 293" hidden="1">
          <a:extLst>
            <a:ext uri="{FF2B5EF4-FFF2-40B4-BE49-F238E27FC236}">
              <a16:creationId xmlns:a16="http://schemas.microsoft.com/office/drawing/2014/main" id="{A2819510-28A3-4216-99EC-6556224BF9BA}"/>
            </a:ext>
          </a:extLst>
        </xdr:cNvPr>
        <xdr:cNvSpPr/>
      </xdr:nvSpPr>
      <xdr:spPr bwMode="auto">
        <a:xfrm>
          <a:off x="13624559" y="1135888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53</xdr:row>
      <xdr:rowOff>119380</xdr:rowOff>
    </xdr:from>
    <xdr:to>
      <xdr:col>19</xdr:col>
      <xdr:colOff>63500</xdr:colOff>
      <xdr:row>54</xdr:row>
      <xdr:rowOff>0</xdr:rowOff>
    </xdr:to>
    <xdr:sp macro="" textlink="">
      <xdr:nvSpPr>
        <xdr:cNvPr id="280" name="nuNumber: 294" hidden="1">
          <a:extLst>
            <a:ext uri="{FF2B5EF4-FFF2-40B4-BE49-F238E27FC236}">
              <a16:creationId xmlns:a16="http://schemas.microsoft.com/office/drawing/2014/main" id="{4A594918-6279-4FB5-B6C8-FB8DA99A4782}"/>
            </a:ext>
          </a:extLst>
        </xdr:cNvPr>
        <xdr:cNvSpPr/>
      </xdr:nvSpPr>
      <xdr:spPr bwMode="auto">
        <a:xfrm>
          <a:off x="14382750" y="11358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54</xdr:row>
      <xdr:rowOff>119380</xdr:rowOff>
    </xdr:from>
    <xdr:to>
      <xdr:col>7</xdr:col>
      <xdr:colOff>63500</xdr:colOff>
      <xdr:row>55</xdr:row>
      <xdr:rowOff>0</xdr:rowOff>
    </xdr:to>
    <xdr:sp macro="" textlink="">
      <xdr:nvSpPr>
        <xdr:cNvPr id="281" name="nuNumber: 295" hidden="1">
          <a:extLst>
            <a:ext uri="{FF2B5EF4-FFF2-40B4-BE49-F238E27FC236}">
              <a16:creationId xmlns:a16="http://schemas.microsoft.com/office/drawing/2014/main" id="{B7F5464B-8296-4D84-9E02-DE1619EFA875}"/>
            </a:ext>
          </a:extLst>
        </xdr:cNvPr>
        <xdr:cNvSpPr/>
      </xdr:nvSpPr>
      <xdr:spPr bwMode="auto">
        <a:xfrm>
          <a:off x="4676775" y="11568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54</xdr:row>
      <xdr:rowOff>119380</xdr:rowOff>
    </xdr:from>
    <xdr:to>
      <xdr:col>8</xdr:col>
      <xdr:colOff>63500</xdr:colOff>
      <xdr:row>55</xdr:row>
      <xdr:rowOff>0</xdr:rowOff>
    </xdr:to>
    <xdr:sp macro="" textlink="">
      <xdr:nvSpPr>
        <xdr:cNvPr id="282" name="nuNumber: 296" hidden="1">
          <a:extLst>
            <a:ext uri="{FF2B5EF4-FFF2-40B4-BE49-F238E27FC236}">
              <a16:creationId xmlns:a16="http://schemas.microsoft.com/office/drawing/2014/main" id="{AB321A5B-A505-4D4E-896C-159305B001D7}"/>
            </a:ext>
          </a:extLst>
        </xdr:cNvPr>
        <xdr:cNvSpPr/>
      </xdr:nvSpPr>
      <xdr:spPr bwMode="auto">
        <a:xfrm>
          <a:off x="5562600" y="11568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54</xdr:row>
      <xdr:rowOff>119380</xdr:rowOff>
    </xdr:from>
    <xdr:to>
      <xdr:col>9</xdr:col>
      <xdr:colOff>63500</xdr:colOff>
      <xdr:row>55</xdr:row>
      <xdr:rowOff>0</xdr:rowOff>
    </xdr:to>
    <xdr:sp macro="" textlink="">
      <xdr:nvSpPr>
        <xdr:cNvPr id="283" name="nuNumber: 297" hidden="1">
          <a:extLst>
            <a:ext uri="{FF2B5EF4-FFF2-40B4-BE49-F238E27FC236}">
              <a16:creationId xmlns:a16="http://schemas.microsoft.com/office/drawing/2014/main" id="{94B6662E-961B-4158-89FF-00021937E026}"/>
            </a:ext>
          </a:extLst>
        </xdr:cNvPr>
        <xdr:cNvSpPr/>
      </xdr:nvSpPr>
      <xdr:spPr bwMode="auto">
        <a:xfrm>
          <a:off x="6467475" y="11568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54</xdr:row>
      <xdr:rowOff>119380</xdr:rowOff>
    </xdr:from>
    <xdr:to>
      <xdr:col>11</xdr:col>
      <xdr:colOff>63500</xdr:colOff>
      <xdr:row>55</xdr:row>
      <xdr:rowOff>0</xdr:rowOff>
    </xdr:to>
    <xdr:sp macro="" textlink="">
      <xdr:nvSpPr>
        <xdr:cNvPr id="284" name="nuNumber: 298" hidden="1">
          <a:extLst>
            <a:ext uri="{FF2B5EF4-FFF2-40B4-BE49-F238E27FC236}">
              <a16:creationId xmlns:a16="http://schemas.microsoft.com/office/drawing/2014/main" id="{5C213945-E360-4299-94DD-B1CDBE2641BF}"/>
            </a:ext>
          </a:extLst>
        </xdr:cNvPr>
        <xdr:cNvSpPr/>
      </xdr:nvSpPr>
      <xdr:spPr bwMode="auto">
        <a:xfrm>
          <a:off x="8105775" y="11568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54</xdr:row>
      <xdr:rowOff>119380</xdr:rowOff>
    </xdr:from>
    <xdr:to>
      <xdr:col>12</xdr:col>
      <xdr:colOff>63500</xdr:colOff>
      <xdr:row>55</xdr:row>
      <xdr:rowOff>0</xdr:rowOff>
    </xdr:to>
    <xdr:sp macro="" textlink="">
      <xdr:nvSpPr>
        <xdr:cNvPr id="285" name="nuNumber: 299" hidden="1">
          <a:extLst>
            <a:ext uri="{FF2B5EF4-FFF2-40B4-BE49-F238E27FC236}">
              <a16:creationId xmlns:a16="http://schemas.microsoft.com/office/drawing/2014/main" id="{D0631824-38B3-480C-B4D9-A08036991193}"/>
            </a:ext>
          </a:extLst>
        </xdr:cNvPr>
        <xdr:cNvSpPr/>
      </xdr:nvSpPr>
      <xdr:spPr bwMode="auto">
        <a:xfrm>
          <a:off x="8972550" y="11568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54</xdr:row>
      <xdr:rowOff>119380</xdr:rowOff>
    </xdr:from>
    <xdr:to>
      <xdr:col>13</xdr:col>
      <xdr:colOff>63500</xdr:colOff>
      <xdr:row>55</xdr:row>
      <xdr:rowOff>0</xdr:rowOff>
    </xdr:to>
    <xdr:sp macro="" textlink="">
      <xdr:nvSpPr>
        <xdr:cNvPr id="286" name="nuNumber: 300" hidden="1">
          <a:extLst>
            <a:ext uri="{FF2B5EF4-FFF2-40B4-BE49-F238E27FC236}">
              <a16:creationId xmlns:a16="http://schemas.microsoft.com/office/drawing/2014/main" id="{609A1715-7C75-49E6-8BF4-0A7CFB12B4D1}"/>
            </a:ext>
          </a:extLst>
        </xdr:cNvPr>
        <xdr:cNvSpPr/>
      </xdr:nvSpPr>
      <xdr:spPr bwMode="auto">
        <a:xfrm>
          <a:off x="9753600" y="11568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54</xdr:row>
      <xdr:rowOff>119380</xdr:rowOff>
    </xdr:from>
    <xdr:to>
      <xdr:col>14</xdr:col>
      <xdr:colOff>63500</xdr:colOff>
      <xdr:row>55</xdr:row>
      <xdr:rowOff>0</xdr:rowOff>
    </xdr:to>
    <xdr:sp macro="" textlink="">
      <xdr:nvSpPr>
        <xdr:cNvPr id="287" name="nuNumber: 301" hidden="1">
          <a:extLst>
            <a:ext uri="{FF2B5EF4-FFF2-40B4-BE49-F238E27FC236}">
              <a16:creationId xmlns:a16="http://schemas.microsoft.com/office/drawing/2014/main" id="{6F0A4ADB-AB14-42AB-8352-8227546AAE7E}"/>
            </a:ext>
          </a:extLst>
        </xdr:cNvPr>
        <xdr:cNvSpPr/>
      </xdr:nvSpPr>
      <xdr:spPr bwMode="auto">
        <a:xfrm>
          <a:off x="10515600" y="11568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54</xdr:row>
      <xdr:rowOff>119380</xdr:rowOff>
    </xdr:from>
    <xdr:to>
      <xdr:col>15</xdr:col>
      <xdr:colOff>63500</xdr:colOff>
      <xdr:row>55</xdr:row>
      <xdr:rowOff>0</xdr:rowOff>
    </xdr:to>
    <xdr:sp macro="" textlink="">
      <xdr:nvSpPr>
        <xdr:cNvPr id="288" name="nuNumber: 302" hidden="1">
          <a:extLst>
            <a:ext uri="{FF2B5EF4-FFF2-40B4-BE49-F238E27FC236}">
              <a16:creationId xmlns:a16="http://schemas.microsoft.com/office/drawing/2014/main" id="{24D8F457-8D07-48E4-829D-FCDC16278584}"/>
            </a:ext>
          </a:extLst>
        </xdr:cNvPr>
        <xdr:cNvSpPr/>
      </xdr:nvSpPr>
      <xdr:spPr bwMode="auto">
        <a:xfrm>
          <a:off x="11325225" y="11568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54</xdr:row>
      <xdr:rowOff>119380</xdr:rowOff>
    </xdr:from>
    <xdr:to>
      <xdr:col>16</xdr:col>
      <xdr:colOff>63500</xdr:colOff>
      <xdr:row>55</xdr:row>
      <xdr:rowOff>0</xdr:rowOff>
    </xdr:to>
    <xdr:sp macro="" textlink="">
      <xdr:nvSpPr>
        <xdr:cNvPr id="289" name="nuNumber: 303" hidden="1">
          <a:extLst>
            <a:ext uri="{FF2B5EF4-FFF2-40B4-BE49-F238E27FC236}">
              <a16:creationId xmlns:a16="http://schemas.microsoft.com/office/drawing/2014/main" id="{B0E8E895-9091-4902-838A-C282A83E21D5}"/>
            </a:ext>
          </a:extLst>
        </xdr:cNvPr>
        <xdr:cNvSpPr/>
      </xdr:nvSpPr>
      <xdr:spPr bwMode="auto">
        <a:xfrm>
          <a:off x="12106275" y="11568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54</xdr:row>
      <xdr:rowOff>119380</xdr:rowOff>
    </xdr:from>
    <xdr:to>
      <xdr:col>17</xdr:col>
      <xdr:colOff>63500</xdr:colOff>
      <xdr:row>55</xdr:row>
      <xdr:rowOff>0</xdr:rowOff>
    </xdr:to>
    <xdr:sp macro="" textlink="">
      <xdr:nvSpPr>
        <xdr:cNvPr id="290" name="nuNumber: 304" hidden="1">
          <a:extLst>
            <a:ext uri="{FF2B5EF4-FFF2-40B4-BE49-F238E27FC236}">
              <a16:creationId xmlns:a16="http://schemas.microsoft.com/office/drawing/2014/main" id="{4A5E818C-569F-42E1-84F8-723F627A6F08}"/>
            </a:ext>
          </a:extLst>
        </xdr:cNvPr>
        <xdr:cNvSpPr/>
      </xdr:nvSpPr>
      <xdr:spPr bwMode="auto">
        <a:xfrm>
          <a:off x="12887325" y="11568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54</xdr:row>
      <xdr:rowOff>119380</xdr:rowOff>
    </xdr:from>
    <xdr:to>
      <xdr:col>18</xdr:col>
      <xdr:colOff>63499</xdr:colOff>
      <xdr:row>55</xdr:row>
      <xdr:rowOff>0</xdr:rowOff>
    </xdr:to>
    <xdr:sp macro="" textlink="">
      <xdr:nvSpPr>
        <xdr:cNvPr id="291" name="nuNumber: 305" hidden="1">
          <a:extLst>
            <a:ext uri="{FF2B5EF4-FFF2-40B4-BE49-F238E27FC236}">
              <a16:creationId xmlns:a16="http://schemas.microsoft.com/office/drawing/2014/main" id="{2748F6BB-9085-43D8-BD96-CBBC42A5B5F6}"/>
            </a:ext>
          </a:extLst>
        </xdr:cNvPr>
        <xdr:cNvSpPr/>
      </xdr:nvSpPr>
      <xdr:spPr bwMode="auto">
        <a:xfrm>
          <a:off x="13624559" y="1156843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54</xdr:row>
      <xdr:rowOff>119380</xdr:rowOff>
    </xdr:from>
    <xdr:to>
      <xdr:col>19</xdr:col>
      <xdr:colOff>63500</xdr:colOff>
      <xdr:row>55</xdr:row>
      <xdr:rowOff>0</xdr:rowOff>
    </xdr:to>
    <xdr:sp macro="" textlink="">
      <xdr:nvSpPr>
        <xdr:cNvPr id="292" name="nuNumber: 306" hidden="1">
          <a:extLst>
            <a:ext uri="{FF2B5EF4-FFF2-40B4-BE49-F238E27FC236}">
              <a16:creationId xmlns:a16="http://schemas.microsoft.com/office/drawing/2014/main" id="{9C37E002-949E-4197-87EC-2002BF075836}"/>
            </a:ext>
          </a:extLst>
        </xdr:cNvPr>
        <xdr:cNvSpPr/>
      </xdr:nvSpPr>
      <xdr:spPr bwMode="auto">
        <a:xfrm>
          <a:off x="14382750" y="11568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54</xdr:row>
      <xdr:rowOff>119380</xdr:rowOff>
    </xdr:from>
    <xdr:to>
      <xdr:col>20</xdr:col>
      <xdr:colOff>63500</xdr:colOff>
      <xdr:row>55</xdr:row>
      <xdr:rowOff>0</xdr:rowOff>
    </xdr:to>
    <xdr:sp macro="" textlink="">
      <xdr:nvSpPr>
        <xdr:cNvPr id="293" name="nuNumber: 307" hidden="1">
          <a:extLst>
            <a:ext uri="{FF2B5EF4-FFF2-40B4-BE49-F238E27FC236}">
              <a16:creationId xmlns:a16="http://schemas.microsoft.com/office/drawing/2014/main" id="{47DB2A33-739F-4141-A67C-76833FC869C4}"/>
            </a:ext>
          </a:extLst>
        </xdr:cNvPr>
        <xdr:cNvSpPr/>
      </xdr:nvSpPr>
      <xdr:spPr bwMode="auto">
        <a:xfrm>
          <a:off x="15135225" y="11568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54</xdr:row>
      <xdr:rowOff>119380</xdr:rowOff>
    </xdr:from>
    <xdr:to>
      <xdr:col>21</xdr:col>
      <xdr:colOff>63500</xdr:colOff>
      <xdr:row>55</xdr:row>
      <xdr:rowOff>0</xdr:rowOff>
    </xdr:to>
    <xdr:sp macro="" textlink="">
      <xdr:nvSpPr>
        <xdr:cNvPr id="294" name="nuNumber: 308" hidden="1">
          <a:extLst>
            <a:ext uri="{FF2B5EF4-FFF2-40B4-BE49-F238E27FC236}">
              <a16:creationId xmlns:a16="http://schemas.microsoft.com/office/drawing/2014/main" id="{5680117D-BF9C-4099-B829-6604A7C497E7}"/>
            </a:ext>
          </a:extLst>
        </xdr:cNvPr>
        <xdr:cNvSpPr/>
      </xdr:nvSpPr>
      <xdr:spPr bwMode="auto">
        <a:xfrm>
          <a:off x="15849600" y="115684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72</xdr:row>
      <xdr:rowOff>119380</xdr:rowOff>
    </xdr:from>
    <xdr:to>
      <xdr:col>8</xdr:col>
      <xdr:colOff>63500</xdr:colOff>
      <xdr:row>73</xdr:row>
      <xdr:rowOff>0</xdr:rowOff>
    </xdr:to>
    <xdr:sp macro="" textlink="">
      <xdr:nvSpPr>
        <xdr:cNvPr id="295" name="nuNumber: 309" hidden="1">
          <a:extLst>
            <a:ext uri="{FF2B5EF4-FFF2-40B4-BE49-F238E27FC236}">
              <a16:creationId xmlns:a16="http://schemas.microsoft.com/office/drawing/2014/main" id="{A22ADE1E-C746-4102-B3E5-016B130144E2}"/>
            </a:ext>
          </a:extLst>
        </xdr:cNvPr>
        <xdr:cNvSpPr/>
      </xdr:nvSpPr>
      <xdr:spPr bwMode="auto">
        <a:xfrm>
          <a:off x="5562600" y="15359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72</xdr:row>
      <xdr:rowOff>119380</xdr:rowOff>
    </xdr:from>
    <xdr:to>
      <xdr:col>9</xdr:col>
      <xdr:colOff>63500</xdr:colOff>
      <xdr:row>73</xdr:row>
      <xdr:rowOff>0</xdr:rowOff>
    </xdr:to>
    <xdr:sp macro="" textlink="">
      <xdr:nvSpPr>
        <xdr:cNvPr id="296" name="nuNumber: 310" hidden="1">
          <a:extLst>
            <a:ext uri="{FF2B5EF4-FFF2-40B4-BE49-F238E27FC236}">
              <a16:creationId xmlns:a16="http://schemas.microsoft.com/office/drawing/2014/main" id="{D1F27E09-07FE-4B6E-892A-553C8E63906F}"/>
            </a:ext>
          </a:extLst>
        </xdr:cNvPr>
        <xdr:cNvSpPr/>
      </xdr:nvSpPr>
      <xdr:spPr bwMode="auto">
        <a:xfrm>
          <a:off x="6467475" y="15359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72</xdr:row>
      <xdr:rowOff>119380</xdr:rowOff>
    </xdr:from>
    <xdr:to>
      <xdr:col>9</xdr:col>
      <xdr:colOff>63500</xdr:colOff>
      <xdr:row>73</xdr:row>
      <xdr:rowOff>0</xdr:rowOff>
    </xdr:to>
    <xdr:sp macro="" textlink="">
      <xdr:nvSpPr>
        <xdr:cNvPr id="297" name="nuNumber: 311" hidden="1">
          <a:extLst>
            <a:ext uri="{FF2B5EF4-FFF2-40B4-BE49-F238E27FC236}">
              <a16:creationId xmlns:a16="http://schemas.microsoft.com/office/drawing/2014/main" id="{13290843-A568-454C-80C3-EE3975DA38BA}"/>
            </a:ext>
          </a:extLst>
        </xdr:cNvPr>
        <xdr:cNvSpPr/>
      </xdr:nvSpPr>
      <xdr:spPr bwMode="auto">
        <a:xfrm>
          <a:off x="6467475" y="15359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72</xdr:row>
      <xdr:rowOff>119380</xdr:rowOff>
    </xdr:from>
    <xdr:to>
      <xdr:col>10</xdr:col>
      <xdr:colOff>63500</xdr:colOff>
      <xdr:row>73</xdr:row>
      <xdr:rowOff>0</xdr:rowOff>
    </xdr:to>
    <xdr:sp macro="" textlink="">
      <xdr:nvSpPr>
        <xdr:cNvPr id="298" name="nuNumber: 312" hidden="1">
          <a:extLst>
            <a:ext uri="{FF2B5EF4-FFF2-40B4-BE49-F238E27FC236}">
              <a16:creationId xmlns:a16="http://schemas.microsoft.com/office/drawing/2014/main" id="{0C15299C-52DE-477E-BBBD-BC8EF6E9E82F}"/>
            </a:ext>
          </a:extLst>
        </xdr:cNvPr>
        <xdr:cNvSpPr/>
      </xdr:nvSpPr>
      <xdr:spPr bwMode="auto">
        <a:xfrm>
          <a:off x="7315200" y="15359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72</xdr:row>
      <xdr:rowOff>119380</xdr:rowOff>
    </xdr:from>
    <xdr:to>
      <xdr:col>11</xdr:col>
      <xdr:colOff>63500</xdr:colOff>
      <xdr:row>73</xdr:row>
      <xdr:rowOff>0</xdr:rowOff>
    </xdr:to>
    <xdr:sp macro="" textlink="">
      <xdr:nvSpPr>
        <xdr:cNvPr id="299" name="nuNumber: 313" hidden="1">
          <a:extLst>
            <a:ext uri="{FF2B5EF4-FFF2-40B4-BE49-F238E27FC236}">
              <a16:creationId xmlns:a16="http://schemas.microsoft.com/office/drawing/2014/main" id="{01066B0B-5F2C-4EF7-B7E1-DEBBE380356A}"/>
            </a:ext>
          </a:extLst>
        </xdr:cNvPr>
        <xdr:cNvSpPr/>
      </xdr:nvSpPr>
      <xdr:spPr bwMode="auto">
        <a:xfrm>
          <a:off x="8105775" y="15359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72</xdr:row>
      <xdr:rowOff>119380</xdr:rowOff>
    </xdr:from>
    <xdr:to>
      <xdr:col>12</xdr:col>
      <xdr:colOff>63500</xdr:colOff>
      <xdr:row>73</xdr:row>
      <xdr:rowOff>0</xdr:rowOff>
    </xdr:to>
    <xdr:sp macro="" textlink="">
      <xdr:nvSpPr>
        <xdr:cNvPr id="300" name="nuNumber: 314" hidden="1">
          <a:extLst>
            <a:ext uri="{FF2B5EF4-FFF2-40B4-BE49-F238E27FC236}">
              <a16:creationId xmlns:a16="http://schemas.microsoft.com/office/drawing/2014/main" id="{04AC2EEC-CC59-4CF3-8B6A-087F1FDB9259}"/>
            </a:ext>
          </a:extLst>
        </xdr:cNvPr>
        <xdr:cNvSpPr/>
      </xdr:nvSpPr>
      <xdr:spPr bwMode="auto">
        <a:xfrm>
          <a:off x="8972550" y="15359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72</xdr:row>
      <xdr:rowOff>119380</xdr:rowOff>
    </xdr:from>
    <xdr:to>
      <xdr:col>13</xdr:col>
      <xdr:colOff>63500</xdr:colOff>
      <xdr:row>73</xdr:row>
      <xdr:rowOff>0</xdr:rowOff>
    </xdr:to>
    <xdr:sp macro="" textlink="">
      <xdr:nvSpPr>
        <xdr:cNvPr id="301" name="nuNumber: 315" hidden="1">
          <a:extLst>
            <a:ext uri="{FF2B5EF4-FFF2-40B4-BE49-F238E27FC236}">
              <a16:creationId xmlns:a16="http://schemas.microsoft.com/office/drawing/2014/main" id="{A12F0ECA-4BA4-4E1D-A00E-49CB34240199}"/>
            </a:ext>
          </a:extLst>
        </xdr:cNvPr>
        <xdr:cNvSpPr/>
      </xdr:nvSpPr>
      <xdr:spPr bwMode="auto">
        <a:xfrm>
          <a:off x="9753600" y="15359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72</xdr:row>
      <xdr:rowOff>119380</xdr:rowOff>
    </xdr:from>
    <xdr:to>
      <xdr:col>14</xdr:col>
      <xdr:colOff>63500</xdr:colOff>
      <xdr:row>73</xdr:row>
      <xdr:rowOff>0</xdr:rowOff>
    </xdr:to>
    <xdr:sp macro="" textlink="">
      <xdr:nvSpPr>
        <xdr:cNvPr id="302" name="nuNumber: 316" hidden="1">
          <a:extLst>
            <a:ext uri="{FF2B5EF4-FFF2-40B4-BE49-F238E27FC236}">
              <a16:creationId xmlns:a16="http://schemas.microsoft.com/office/drawing/2014/main" id="{01A7CC6C-440B-4A48-8EFC-FEF6439A3F14}"/>
            </a:ext>
          </a:extLst>
        </xdr:cNvPr>
        <xdr:cNvSpPr/>
      </xdr:nvSpPr>
      <xdr:spPr bwMode="auto">
        <a:xfrm>
          <a:off x="10515600" y="15359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72</xdr:row>
      <xdr:rowOff>119380</xdr:rowOff>
    </xdr:from>
    <xdr:to>
      <xdr:col>15</xdr:col>
      <xdr:colOff>63500</xdr:colOff>
      <xdr:row>73</xdr:row>
      <xdr:rowOff>0</xdr:rowOff>
    </xdr:to>
    <xdr:sp macro="" textlink="">
      <xdr:nvSpPr>
        <xdr:cNvPr id="303" name="nuNumber: 317" hidden="1">
          <a:extLst>
            <a:ext uri="{FF2B5EF4-FFF2-40B4-BE49-F238E27FC236}">
              <a16:creationId xmlns:a16="http://schemas.microsoft.com/office/drawing/2014/main" id="{EED86E98-F856-477A-A18E-C8363DA515E3}"/>
            </a:ext>
          </a:extLst>
        </xdr:cNvPr>
        <xdr:cNvSpPr/>
      </xdr:nvSpPr>
      <xdr:spPr bwMode="auto">
        <a:xfrm>
          <a:off x="11325225" y="15359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72</xdr:row>
      <xdr:rowOff>119380</xdr:rowOff>
    </xdr:from>
    <xdr:to>
      <xdr:col>16</xdr:col>
      <xdr:colOff>63500</xdr:colOff>
      <xdr:row>73</xdr:row>
      <xdr:rowOff>0</xdr:rowOff>
    </xdr:to>
    <xdr:sp macro="" textlink="">
      <xdr:nvSpPr>
        <xdr:cNvPr id="304" name="nuNumber: 318" hidden="1">
          <a:extLst>
            <a:ext uri="{FF2B5EF4-FFF2-40B4-BE49-F238E27FC236}">
              <a16:creationId xmlns:a16="http://schemas.microsoft.com/office/drawing/2014/main" id="{F0248850-E041-47F3-9B5E-FF4DA5A0B1E4}"/>
            </a:ext>
          </a:extLst>
        </xdr:cNvPr>
        <xdr:cNvSpPr/>
      </xdr:nvSpPr>
      <xdr:spPr bwMode="auto">
        <a:xfrm>
          <a:off x="12106275" y="15359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72</xdr:row>
      <xdr:rowOff>119380</xdr:rowOff>
    </xdr:from>
    <xdr:to>
      <xdr:col>17</xdr:col>
      <xdr:colOff>63500</xdr:colOff>
      <xdr:row>73</xdr:row>
      <xdr:rowOff>0</xdr:rowOff>
    </xdr:to>
    <xdr:sp macro="" textlink="">
      <xdr:nvSpPr>
        <xdr:cNvPr id="305" name="nuNumber: 319" hidden="1">
          <a:extLst>
            <a:ext uri="{FF2B5EF4-FFF2-40B4-BE49-F238E27FC236}">
              <a16:creationId xmlns:a16="http://schemas.microsoft.com/office/drawing/2014/main" id="{3CDCF7AC-AC7A-441D-AC22-76AEB7A6DD23}"/>
            </a:ext>
          </a:extLst>
        </xdr:cNvPr>
        <xdr:cNvSpPr/>
      </xdr:nvSpPr>
      <xdr:spPr bwMode="auto">
        <a:xfrm>
          <a:off x="12887325" y="15359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72</xdr:row>
      <xdr:rowOff>119380</xdr:rowOff>
    </xdr:from>
    <xdr:to>
      <xdr:col>18</xdr:col>
      <xdr:colOff>63499</xdr:colOff>
      <xdr:row>73</xdr:row>
      <xdr:rowOff>0</xdr:rowOff>
    </xdr:to>
    <xdr:sp macro="" textlink="">
      <xdr:nvSpPr>
        <xdr:cNvPr id="306" name="nuNumber: 320" hidden="1">
          <a:extLst>
            <a:ext uri="{FF2B5EF4-FFF2-40B4-BE49-F238E27FC236}">
              <a16:creationId xmlns:a16="http://schemas.microsoft.com/office/drawing/2014/main" id="{4C408D55-C89D-408D-ABDD-594421E7203E}"/>
            </a:ext>
          </a:extLst>
        </xdr:cNvPr>
        <xdr:cNvSpPr/>
      </xdr:nvSpPr>
      <xdr:spPr bwMode="auto">
        <a:xfrm>
          <a:off x="13624559" y="1535938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72</xdr:row>
      <xdr:rowOff>119380</xdr:rowOff>
    </xdr:from>
    <xdr:to>
      <xdr:col>19</xdr:col>
      <xdr:colOff>63500</xdr:colOff>
      <xdr:row>73</xdr:row>
      <xdr:rowOff>0</xdr:rowOff>
    </xdr:to>
    <xdr:sp macro="" textlink="">
      <xdr:nvSpPr>
        <xdr:cNvPr id="307" name="nuNumber: 321" hidden="1">
          <a:extLst>
            <a:ext uri="{FF2B5EF4-FFF2-40B4-BE49-F238E27FC236}">
              <a16:creationId xmlns:a16="http://schemas.microsoft.com/office/drawing/2014/main" id="{3B9E7EB7-C9B8-4917-A8CF-7D9BE7F91954}"/>
            </a:ext>
          </a:extLst>
        </xdr:cNvPr>
        <xdr:cNvSpPr/>
      </xdr:nvSpPr>
      <xdr:spPr bwMode="auto">
        <a:xfrm>
          <a:off x="14382750" y="15359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72</xdr:row>
      <xdr:rowOff>119380</xdr:rowOff>
    </xdr:from>
    <xdr:to>
      <xdr:col>20</xdr:col>
      <xdr:colOff>63500</xdr:colOff>
      <xdr:row>73</xdr:row>
      <xdr:rowOff>0</xdr:rowOff>
    </xdr:to>
    <xdr:sp macro="" textlink="">
      <xdr:nvSpPr>
        <xdr:cNvPr id="308" name="nuNumber: 322" hidden="1">
          <a:extLst>
            <a:ext uri="{FF2B5EF4-FFF2-40B4-BE49-F238E27FC236}">
              <a16:creationId xmlns:a16="http://schemas.microsoft.com/office/drawing/2014/main" id="{0D0F4B78-2F15-4903-ABA3-B4933B561713}"/>
            </a:ext>
          </a:extLst>
        </xdr:cNvPr>
        <xdr:cNvSpPr/>
      </xdr:nvSpPr>
      <xdr:spPr bwMode="auto">
        <a:xfrm>
          <a:off x="15135225" y="15359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72</xdr:row>
      <xdr:rowOff>119380</xdr:rowOff>
    </xdr:from>
    <xdr:to>
      <xdr:col>21</xdr:col>
      <xdr:colOff>63500</xdr:colOff>
      <xdr:row>73</xdr:row>
      <xdr:rowOff>0</xdr:rowOff>
    </xdr:to>
    <xdr:sp macro="" textlink="">
      <xdr:nvSpPr>
        <xdr:cNvPr id="309" name="nuNumber: 323" hidden="1">
          <a:extLst>
            <a:ext uri="{FF2B5EF4-FFF2-40B4-BE49-F238E27FC236}">
              <a16:creationId xmlns:a16="http://schemas.microsoft.com/office/drawing/2014/main" id="{D2351C78-5886-4E1A-BB9C-E15D4CB13B27}"/>
            </a:ext>
          </a:extLst>
        </xdr:cNvPr>
        <xdr:cNvSpPr/>
      </xdr:nvSpPr>
      <xdr:spPr bwMode="auto">
        <a:xfrm>
          <a:off x="15849600" y="15359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73</xdr:row>
      <xdr:rowOff>119380</xdr:rowOff>
    </xdr:from>
    <xdr:to>
      <xdr:col>8</xdr:col>
      <xdr:colOff>63500</xdr:colOff>
      <xdr:row>74</xdr:row>
      <xdr:rowOff>0</xdr:rowOff>
    </xdr:to>
    <xdr:sp macro="" textlink="">
      <xdr:nvSpPr>
        <xdr:cNvPr id="310" name="nuNumber: 324" hidden="1">
          <a:extLst>
            <a:ext uri="{FF2B5EF4-FFF2-40B4-BE49-F238E27FC236}">
              <a16:creationId xmlns:a16="http://schemas.microsoft.com/office/drawing/2014/main" id="{546E7AEA-3A3F-438B-BF57-9965C5E30D0D}"/>
            </a:ext>
          </a:extLst>
        </xdr:cNvPr>
        <xdr:cNvSpPr/>
      </xdr:nvSpPr>
      <xdr:spPr bwMode="auto">
        <a:xfrm>
          <a:off x="5562600" y="15568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73</xdr:row>
      <xdr:rowOff>119380</xdr:rowOff>
    </xdr:from>
    <xdr:to>
      <xdr:col>9</xdr:col>
      <xdr:colOff>63500</xdr:colOff>
      <xdr:row>74</xdr:row>
      <xdr:rowOff>0</xdr:rowOff>
    </xdr:to>
    <xdr:sp macro="" textlink="">
      <xdr:nvSpPr>
        <xdr:cNvPr id="311" name="nuNumber: 325" hidden="1">
          <a:extLst>
            <a:ext uri="{FF2B5EF4-FFF2-40B4-BE49-F238E27FC236}">
              <a16:creationId xmlns:a16="http://schemas.microsoft.com/office/drawing/2014/main" id="{EA22BC60-DA55-4F25-B8D1-4086E7D85856}"/>
            </a:ext>
          </a:extLst>
        </xdr:cNvPr>
        <xdr:cNvSpPr/>
      </xdr:nvSpPr>
      <xdr:spPr bwMode="auto">
        <a:xfrm>
          <a:off x="6467475" y="15568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73</xdr:row>
      <xdr:rowOff>119380</xdr:rowOff>
    </xdr:from>
    <xdr:to>
      <xdr:col>9</xdr:col>
      <xdr:colOff>63500</xdr:colOff>
      <xdr:row>74</xdr:row>
      <xdr:rowOff>0</xdr:rowOff>
    </xdr:to>
    <xdr:sp macro="" textlink="">
      <xdr:nvSpPr>
        <xdr:cNvPr id="312" name="nuNumber: 326" hidden="1">
          <a:extLst>
            <a:ext uri="{FF2B5EF4-FFF2-40B4-BE49-F238E27FC236}">
              <a16:creationId xmlns:a16="http://schemas.microsoft.com/office/drawing/2014/main" id="{3617E5D3-0A6B-4AFD-A0F7-70DB89812DF8}"/>
            </a:ext>
          </a:extLst>
        </xdr:cNvPr>
        <xdr:cNvSpPr/>
      </xdr:nvSpPr>
      <xdr:spPr bwMode="auto">
        <a:xfrm>
          <a:off x="6467475" y="15568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73</xdr:row>
      <xdr:rowOff>119380</xdr:rowOff>
    </xdr:from>
    <xdr:to>
      <xdr:col>10</xdr:col>
      <xdr:colOff>63500</xdr:colOff>
      <xdr:row>74</xdr:row>
      <xdr:rowOff>0</xdr:rowOff>
    </xdr:to>
    <xdr:sp macro="" textlink="">
      <xdr:nvSpPr>
        <xdr:cNvPr id="313" name="nuNumber: 327" hidden="1">
          <a:extLst>
            <a:ext uri="{FF2B5EF4-FFF2-40B4-BE49-F238E27FC236}">
              <a16:creationId xmlns:a16="http://schemas.microsoft.com/office/drawing/2014/main" id="{7A016009-3D51-4E03-80B8-3A6E6C823639}"/>
            </a:ext>
          </a:extLst>
        </xdr:cNvPr>
        <xdr:cNvSpPr/>
      </xdr:nvSpPr>
      <xdr:spPr bwMode="auto">
        <a:xfrm>
          <a:off x="7315200" y="15568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73</xdr:row>
      <xdr:rowOff>119380</xdr:rowOff>
    </xdr:from>
    <xdr:to>
      <xdr:col>11</xdr:col>
      <xdr:colOff>63500</xdr:colOff>
      <xdr:row>74</xdr:row>
      <xdr:rowOff>0</xdr:rowOff>
    </xdr:to>
    <xdr:sp macro="" textlink="">
      <xdr:nvSpPr>
        <xdr:cNvPr id="314" name="nuNumber: 328" hidden="1">
          <a:extLst>
            <a:ext uri="{FF2B5EF4-FFF2-40B4-BE49-F238E27FC236}">
              <a16:creationId xmlns:a16="http://schemas.microsoft.com/office/drawing/2014/main" id="{AF3D2C2C-2E5B-4C37-AE51-BB10E49E2931}"/>
            </a:ext>
          </a:extLst>
        </xdr:cNvPr>
        <xdr:cNvSpPr/>
      </xdr:nvSpPr>
      <xdr:spPr bwMode="auto">
        <a:xfrm>
          <a:off x="8105775" y="15568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73</xdr:row>
      <xdr:rowOff>119380</xdr:rowOff>
    </xdr:from>
    <xdr:to>
      <xdr:col>12</xdr:col>
      <xdr:colOff>63500</xdr:colOff>
      <xdr:row>74</xdr:row>
      <xdr:rowOff>0</xdr:rowOff>
    </xdr:to>
    <xdr:sp macro="" textlink="">
      <xdr:nvSpPr>
        <xdr:cNvPr id="315" name="nuNumber: 329" hidden="1">
          <a:extLst>
            <a:ext uri="{FF2B5EF4-FFF2-40B4-BE49-F238E27FC236}">
              <a16:creationId xmlns:a16="http://schemas.microsoft.com/office/drawing/2014/main" id="{98F56EB4-3BDB-4726-83B1-C5140A101A4D}"/>
            </a:ext>
          </a:extLst>
        </xdr:cNvPr>
        <xdr:cNvSpPr/>
      </xdr:nvSpPr>
      <xdr:spPr bwMode="auto">
        <a:xfrm>
          <a:off x="8972550" y="15568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73</xdr:row>
      <xdr:rowOff>119380</xdr:rowOff>
    </xdr:from>
    <xdr:to>
      <xdr:col>13</xdr:col>
      <xdr:colOff>63500</xdr:colOff>
      <xdr:row>74</xdr:row>
      <xdr:rowOff>0</xdr:rowOff>
    </xdr:to>
    <xdr:sp macro="" textlink="">
      <xdr:nvSpPr>
        <xdr:cNvPr id="316" name="nuNumber: 330" hidden="1">
          <a:extLst>
            <a:ext uri="{FF2B5EF4-FFF2-40B4-BE49-F238E27FC236}">
              <a16:creationId xmlns:a16="http://schemas.microsoft.com/office/drawing/2014/main" id="{773DEBEE-7D22-45D2-93F5-D6FBBB9E23AA}"/>
            </a:ext>
          </a:extLst>
        </xdr:cNvPr>
        <xdr:cNvSpPr/>
      </xdr:nvSpPr>
      <xdr:spPr bwMode="auto">
        <a:xfrm>
          <a:off x="9753600" y="15568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73</xdr:row>
      <xdr:rowOff>119380</xdr:rowOff>
    </xdr:from>
    <xdr:to>
      <xdr:col>14</xdr:col>
      <xdr:colOff>63500</xdr:colOff>
      <xdr:row>74</xdr:row>
      <xdr:rowOff>0</xdr:rowOff>
    </xdr:to>
    <xdr:sp macro="" textlink="">
      <xdr:nvSpPr>
        <xdr:cNvPr id="317" name="nuNumber: 331" hidden="1">
          <a:extLst>
            <a:ext uri="{FF2B5EF4-FFF2-40B4-BE49-F238E27FC236}">
              <a16:creationId xmlns:a16="http://schemas.microsoft.com/office/drawing/2014/main" id="{5E5059DE-E56E-40C3-B855-55F9E031F1EA}"/>
            </a:ext>
          </a:extLst>
        </xdr:cNvPr>
        <xdr:cNvSpPr/>
      </xdr:nvSpPr>
      <xdr:spPr bwMode="auto">
        <a:xfrm>
          <a:off x="10515600" y="15568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73</xdr:row>
      <xdr:rowOff>119380</xdr:rowOff>
    </xdr:from>
    <xdr:to>
      <xdr:col>15</xdr:col>
      <xdr:colOff>63500</xdr:colOff>
      <xdr:row>74</xdr:row>
      <xdr:rowOff>0</xdr:rowOff>
    </xdr:to>
    <xdr:sp macro="" textlink="">
      <xdr:nvSpPr>
        <xdr:cNvPr id="318" name="nuNumber: 332" hidden="1">
          <a:extLst>
            <a:ext uri="{FF2B5EF4-FFF2-40B4-BE49-F238E27FC236}">
              <a16:creationId xmlns:a16="http://schemas.microsoft.com/office/drawing/2014/main" id="{457F2A28-520B-4842-8E0C-A0D4ECBEE36C}"/>
            </a:ext>
          </a:extLst>
        </xdr:cNvPr>
        <xdr:cNvSpPr/>
      </xdr:nvSpPr>
      <xdr:spPr bwMode="auto">
        <a:xfrm>
          <a:off x="11325225" y="15568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73</xdr:row>
      <xdr:rowOff>119380</xdr:rowOff>
    </xdr:from>
    <xdr:to>
      <xdr:col>16</xdr:col>
      <xdr:colOff>63500</xdr:colOff>
      <xdr:row>74</xdr:row>
      <xdr:rowOff>0</xdr:rowOff>
    </xdr:to>
    <xdr:sp macro="" textlink="">
      <xdr:nvSpPr>
        <xdr:cNvPr id="319" name="nuNumber: 333" hidden="1">
          <a:extLst>
            <a:ext uri="{FF2B5EF4-FFF2-40B4-BE49-F238E27FC236}">
              <a16:creationId xmlns:a16="http://schemas.microsoft.com/office/drawing/2014/main" id="{58167715-187A-4932-92B2-058CB455D734}"/>
            </a:ext>
          </a:extLst>
        </xdr:cNvPr>
        <xdr:cNvSpPr/>
      </xdr:nvSpPr>
      <xdr:spPr bwMode="auto">
        <a:xfrm>
          <a:off x="12106275" y="15568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73</xdr:row>
      <xdr:rowOff>119380</xdr:rowOff>
    </xdr:from>
    <xdr:to>
      <xdr:col>17</xdr:col>
      <xdr:colOff>63500</xdr:colOff>
      <xdr:row>74</xdr:row>
      <xdr:rowOff>0</xdr:rowOff>
    </xdr:to>
    <xdr:sp macro="" textlink="">
      <xdr:nvSpPr>
        <xdr:cNvPr id="320" name="nuNumber: 334" hidden="1">
          <a:extLst>
            <a:ext uri="{FF2B5EF4-FFF2-40B4-BE49-F238E27FC236}">
              <a16:creationId xmlns:a16="http://schemas.microsoft.com/office/drawing/2014/main" id="{7187C4B2-B9C5-46B5-A033-5906A78AEBCB}"/>
            </a:ext>
          </a:extLst>
        </xdr:cNvPr>
        <xdr:cNvSpPr/>
      </xdr:nvSpPr>
      <xdr:spPr bwMode="auto">
        <a:xfrm>
          <a:off x="12887325" y="15568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73</xdr:row>
      <xdr:rowOff>119380</xdr:rowOff>
    </xdr:from>
    <xdr:to>
      <xdr:col>18</xdr:col>
      <xdr:colOff>63499</xdr:colOff>
      <xdr:row>74</xdr:row>
      <xdr:rowOff>0</xdr:rowOff>
    </xdr:to>
    <xdr:sp macro="" textlink="">
      <xdr:nvSpPr>
        <xdr:cNvPr id="321" name="nuNumber: 335" hidden="1">
          <a:extLst>
            <a:ext uri="{FF2B5EF4-FFF2-40B4-BE49-F238E27FC236}">
              <a16:creationId xmlns:a16="http://schemas.microsoft.com/office/drawing/2014/main" id="{2079892C-D19C-4091-AC59-DAE958E7A116}"/>
            </a:ext>
          </a:extLst>
        </xdr:cNvPr>
        <xdr:cNvSpPr/>
      </xdr:nvSpPr>
      <xdr:spPr bwMode="auto">
        <a:xfrm>
          <a:off x="13624559" y="1556893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73</xdr:row>
      <xdr:rowOff>119380</xdr:rowOff>
    </xdr:from>
    <xdr:to>
      <xdr:col>19</xdr:col>
      <xdr:colOff>63500</xdr:colOff>
      <xdr:row>74</xdr:row>
      <xdr:rowOff>0</xdr:rowOff>
    </xdr:to>
    <xdr:sp macro="" textlink="">
      <xdr:nvSpPr>
        <xdr:cNvPr id="322" name="nuNumber: 336" hidden="1">
          <a:extLst>
            <a:ext uri="{FF2B5EF4-FFF2-40B4-BE49-F238E27FC236}">
              <a16:creationId xmlns:a16="http://schemas.microsoft.com/office/drawing/2014/main" id="{F3E378B0-EC6A-4257-99A4-9115A3AEDE84}"/>
            </a:ext>
          </a:extLst>
        </xdr:cNvPr>
        <xdr:cNvSpPr/>
      </xdr:nvSpPr>
      <xdr:spPr bwMode="auto">
        <a:xfrm>
          <a:off x="14382750" y="15568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73</xdr:row>
      <xdr:rowOff>119380</xdr:rowOff>
    </xdr:from>
    <xdr:to>
      <xdr:col>20</xdr:col>
      <xdr:colOff>63500</xdr:colOff>
      <xdr:row>74</xdr:row>
      <xdr:rowOff>0</xdr:rowOff>
    </xdr:to>
    <xdr:sp macro="" textlink="">
      <xdr:nvSpPr>
        <xdr:cNvPr id="323" name="nuNumber: 337" hidden="1">
          <a:extLst>
            <a:ext uri="{FF2B5EF4-FFF2-40B4-BE49-F238E27FC236}">
              <a16:creationId xmlns:a16="http://schemas.microsoft.com/office/drawing/2014/main" id="{42062F51-9348-44FA-9935-566FBBC4BB4C}"/>
            </a:ext>
          </a:extLst>
        </xdr:cNvPr>
        <xdr:cNvSpPr/>
      </xdr:nvSpPr>
      <xdr:spPr bwMode="auto">
        <a:xfrm>
          <a:off x="15135225" y="15568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73</xdr:row>
      <xdr:rowOff>119380</xdr:rowOff>
    </xdr:from>
    <xdr:to>
      <xdr:col>21</xdr:col>
      <xdr:colOff>63500</xdr:colOff>
      <xdr:row>74</xdr:row>
      <xdr:rowOff>0</xdr:rowOff>
    </xdr:to>
    <xdr:sp macro="" textlink="">
      <xdr:nvSpPr>
        <xdr:cNvPr id="324" name="nuNumber: 338" hidden="1">
          <a:extLst>
            <a:ext uri="{FF2B5EF4-FFF2-40B4-BE49-F238E27FC236}">
              <a16:creationId xmlns:a16="http://schemas.microsoft.com/office/drawing/2014/main" id="{1D5C07A4-4BA6-4624-A4C6-AF97E5D4E03D}"/>
            </a:ext>
          </a:extLst>
        </xdr:cNvPr>
        <xdr:cNvSpPr/>
      </xdr:nvSpPr>
      <xdr:spPr bwMode="auto">
        <a:xfrm>
          <a:off x="15849600" y="15568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74</xdr:row>
      <xdr:rowOff>119380</xdr:rowOff>
    </xdr:from>
    <xdr:to>
      <xdr:col>8</xdr:col>
      <xdr:colOff>63500</xdr:colOff>
      <xdr:row>75</xdr:row>
      <xdr:rowOff>0</xdr:rowOff>
    </xdr:to>
    <xdr:sp macro="" textlink="">
      <xdr:nvSpPr>
        <xdr:cNvPr id="325" name="nuNumber: 339" hidden="1">
          <a:extLst>
            <a:ext uri="{FF2B5EF4-FFF2-40B4-BE49-F238E27FC236}">
              <a16:creationId xmlns:a16="http://schemas.microsoft.com/office/drawing/2014/main" id="{64BDC12E-9BCF-42AB-ACA0-E5D66B8FCB41}"/>
            </a:ext>
          </a:extLst>
        </xdr:cNvPr>
        <xdr:cNvSpPr/>
      </xdr:nvSpPr>
      <xdr:spPr bwMode="auto">
        <a:xfrm>
          <a:off x="5562600" y="15778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74</xdr:row>
      <xdr:rowOff>119380</xdr:rowOff>
    </xdr:from>
    <xdr:to>
      <xdr:col>9</xdr:col>
      <xdr:colOff>63500</xdr:colOff>
      <xdr:row>75</xdr:row>
      <xdr:rowOff>0</xdr:rowOff>
    </xdr:to>
    <xdr:sp macro="" textlink="">
      <xdr:nvSpPr>
        <xdr:cNvPr id="326" name="nuNumber: 340" hidden="1">
          <a:extLst>
            <a:ext uri="{FF2B5EF4-FFF2-40B4-BE49-F238E27FC236}">
              <a16:creationId xmlns:a16="http://schemas.microsoft.com/office/drawing/2014/main" id="{E673DF09-8845-4C64-9494-A57D1C4F7BC4}"/>
            </a:ext>
          </a:extLst>
        </xdr:cNvPr>
        <xdr:cNvSpPr/>
      </xdr:nvSpPr>
      <xdr:spPr bwMode="auto">
        <a:xfrm>
          <a:off x="6467475" y="15778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74</xdr:row>
      <xdr:rowOff>119380</xdr:rowOff>
    </xdr:from>
    <xdr:to>
      <xdr:col>9</xdr:col>
      <xdr:colOff>63500</xdr:colOff>
      <xdr:row>75</xdr:row>
      <xdr:rowOff>0</xdr:rowOff>
    </xdr:to>
    <xdr:sp macro="" textlink="">
      <xdr:nvSpPr>
        <xdr:cNvPr id="327" name="nuNumber: 341" hidden="1">
          <a:extLst>
            <a:ext uri="{FF2B5EF4-FFF2-40B4-BE49-F238E27FC236}">
              <a16:creationId xmlns:a16="http://schemas.microsoft.com/office/drawing/2014/main" id="{8491F6EC-F8B6-4428-AA02-CA20B6377F61}"/>
            </a:ext>
          </a:extLst>
        </xdr:cNvPr>
        <xdr:cNvSpPr/>
      </xdr:nvSpPr>
      <xdr:spPr bwMode="auto">
        <a:xfrm>
          <a:off x="6467475" y="15778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74</xdr:row>
      <xdr:rowOff>119380</xdr:rowOff>
    </xdr:from>
    <xdr:to>
      <xdr:col>10</xdr:col>
      <xdr:colOff>63500</xdr:colOff>
      <xdr:row>75</xdr:row>
      <xdr:rowOff>0</xdr:rowOff>
    </xdr:to>
    <xdr:sp macro="" textlink="">
      <xdr:nvSpPr>
        <xdr:cNvPr id="328" name="nuNumber: 342" hidden="1">
          <a:extLst>
            <a:ext uri="{FF2B5EF4-FFF2-40B4-BE49-F238E27FC236}">
              <a16:creationId xmlns:a16="http://schemas.microsoft.com/office/drawing/2014/main" id="{8AAF1073-5C72-4F17-A552-ED5813388BFE}"/>
            </a:ext>
          </a:extLst>
        </xdr:cNvPr>
        <xdr:cNvSpPr/>
      </xdr:nvSpPr>
      <xdr:spPr bwMode="auto">
        <a:xfrm>
          <a:off x="7315200" y="15778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74</xdr:row>
      <xdr:rowOff>119380</xdr:rowOff>
    </xdr:from>
    <xdr:to>
      <xdr:col>11</xdr:col>
      <xdr:colOff>63500</xdr:colOff>
      <xdr:row>75</xdr:row>
      <xdr:rowOff>0</xdr:rowOff>
    </xdr:to>
    <xdr:sp macro="" textlink="">
      <xdr:nvSpPr>
        <xdr:cNvPr id="329" name="nuNumber: 343" hidden="1">
          <a:extLst>
            <a:ext uri="{FF2B5EF4-FFF2-40B4-BE49-F238E27FC236}">
              <a16:creationId xmlns:a16="http://schemas.microsoft.com/office/drawing/2014/main" id="{38CAAB21-AE76-4EEF-B9B3-628A5F4EC5B0}"/>
            </a:ext>
          </a:extLst>
        </xdr:cNvPr>
        <xdr:cNvSpPr/>
      </xdr:nvSpPr>
      <xdr:spPr bwMode="auto">
        <a:xfrm>
          <a:off x="8105775" y="15778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74</xdr:row>
      <xdr:rowOff>119380</xdr:rowOff>
    </xdr:from>
    <xdr:to>
      <xdr:col>12</xdr:col>
      <xdr:colOff>63500</xdr:colOff>
      <xdr:row>75</xdr:row>
      <xdr:rowOff>0</xdr:rowOff>
    </xdr:to>
    <xdr:sp macro="" textlink="">
      <xdr:nvSpPr>
        <xdr:cNvPr id="330" name="nuNumber: 344" hidden="1">
          <a:extLst>
            <a:ext uri="{FF2B5EF4-FFF2-40B4-BE49-F238E27FC236}">
              <a16:creationId xmlns:a16="http://schemas.microsoft.com/office/drawing/2014/main" id="{666AC69E-E4BB-465C-8421-93A6F9950551}"/>
            </a:ext>
          </a:extLst>
        </xdr:cNvPr>
        <xdr:cNvSpPr/>
      </xdr:nvSpPr>
      <xdr:spPr bwMode="auto">
        <a:xfrm>
          <a:off x="8972550" y="15778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74</xdr:row>
      <xdr:rowOff>119380</xdr:rowOff>
    </xdr:from>
    <xdr:to>
      <xdr:col>13</xdr:col>
      <xdr:colOff>63500</xdr:colOff>
      <xdr:row>75</xdr:row>
      <xdr:rowOff>0</xdr:rowOff>
    </xdr:to>
    <xdr:sp macro="" textlink="">
      <xdr:nvSpPr>
        <xdr:cNvPr id="331" name="nuNumber: 345" hidden="1">
          <a:extLst>
            <a:ext uri="{FF2B5EF4-FFF2-40B4-BE49-F238E27FC236}">
              <a16:creationId xmlns:a16="http://schemas.microsoft.com/office/drawing/2014/main" id="{3A10BFCB-C000-41B2-9110-89D9090629AB}"/>
            </a:ext>
          </a:extLst>
        </xdr:cNvPr>
        <xdr:cNvSpPr/>
      </xdr:nvSpPr>
      <xdr:spPr bwMode="auto">
        <a:xfrm>
          <a:off x="9753600" y="15778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74</xdr:row>
      <xdr:rowOff>119380</xdr:rowOff>
    </xdr:from>
    <xdr:to>
      <xdr:col>14</xdr:col>
      <xdr:colOff>63500</xdr:colOff>
      <xdr:row>75</xdr:row>
      <xdr:rowOff>0</xdr:rowOff>
    </xdr:to>
    <xdr:sp macro="" textlink="">
      <xdr:nvSpPr>
        <xdr:cNvPr id="332" name="nuNumber: 346" hidden="1">
          <a:extLst>
            <a:ext uri="{FF2B5EF4-FFF2-40B4-BE49-F238E27FC236}">
              <a16:creationId xmlns:a16="http://schemas.microsoft.com/office/drawing/2014/main" id="{E5B1AE59-D146-4356-96BE-F4DC0CEF0DC4}"/>
            </a:ext>
          </a:extLst>
        </xdr:cNvPr>
        <xdr:cNvSpPr/>
      </xdr:nvSpPr>
      <xdr:spPr bwMode="auto">
        <a:xfrm>
          <a:off x="10515600" y="15778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74</xdr:row>
      <xdr:rowOff>119380</xdr:rowOff>
    </xdr:from>
    <xdr:to>
      <xdr:col>15</xdr:col>
      <xdr:colOff>63500</xdr:colOff>
      <xdr:row>75</xdr:row>
      <xdr:rowOff>0</xdr:rowOff>
    </xdr:to>
    <xdr:sp macro="" textlink="">
      <xdr:nvSpPr>
        <xdr:cNvPr id="333" name="nuNumber: 347" hidden="1">
          <a:extLst>
            <a:ext uri="{FF2B5EF4-FFF2-40B4-BE49-F238E27FC236}">
              <a16:creationId xmlns:a16="http://schemas.microsoft.com/office/drawing/2014/main" id="{61CB5F14-E0F3-4E61-B249-25BB69EDBC8F}"/>
            </a:ext>
          </a:extLst>
        </xdr:cNvPr>
        <xdr:cNvSpPr/>
      </xdr:nvSpPr>
      <xdr:spPr bwMode="auto">
        <a:xfrm>
          <a:off x="11325225" y="15778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74</xdr:row>
      <xdr:rowOff>119380</xdr:rowOff>
    </xdr:from>
    <xdr:to>
      <xdr:col>16</xdr:col>
      <xdr:colOff>63500</xdr:colOff>
      <xdr:row>75</xdr:row>
      <xdr:rowOff>0</xdr:rowOff>
    </xdr:to>
    <xdr:sp macro="" textlink="">
      <xdr:nvSpPr>
        <xdr:cNvPr id="334" name="nuNumber: 348" hidden="1">
          <a:extLst>
            <a:ext uri="{FF2B5EF4-FFF2-40B4-BE49-F238E27FC236}">
              <a16:creationId xmlns:a16="http://schemas.microsoft.com/office/drawing/2014/main" id="{EDD0A3F0-DAC9-44B9-8B0D-EF82D2130284}"/>
            </a:ext>
          </a:extLst>
        </xdr:cNvPr>
        <xdr:cNvSpPr/>
      </xdr:nvSpPr>
      <xdr:spPr bwMode="auto">
        <a:xfrm>
          <a:off x="12106275" y="15778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74</xdr:row>
      <xdr:rowOff>119380</xdr:rowOff>
    </xdr:from>
    <xdr:to>
      <xdr:col>17</xdr:col>
      <xdr:colOff>63500</xdr:colOff>
      <xdr:row>75</xdr:row>
      <xdr:rowOff>0</xdr:rowOff>
    </xdr:to>
    <xdr:sp macro="" textlink="">
      <xdr:nvSpPr>
        <xdr:cNvPr id="335" name="nuNumber: 349" hidden="1">
          <a:extLst>
            <a:ext uri="{FF2B5EF4-FFF2-40B4-BE49-F238E27FC236}">
              <a16:creationId xmlns:a16="http://schemas.microsoft.com/office/drawing/2014/main" id="{F49C1E9E-784B-4FEF-BCA7-51D3B934DEFC}"/>
            </a:ext>
          </a:extLst>
        </xdr:cNvPr>
        <xdr:cNvSpPr/>
      </xdr:nvSpPr>
      <xdr:spPr bwMode="auto">
        <a:xfrm>
          <a:off x="12887325" y="15778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74</xdr:row>
      <xdr:rowOff>119380</xdr:rowOff>
    </xdr:from>
    <xdr:to>
      <xdr:col>18</xdr:col>
      <xdr:colOff>63499</xdr:colOff>
      <xdr:row>75</xdr:row>
      <xdr:rowOff>0</xdr:rowOff>
    </xdr:to>
    <xdr:sp macro="" textlink="">
      <xdr:nvSpPr>
        <xdr:cNvPr id="336" name="nuNumber: 350" hidden="1">
          <a:extLst>
            <a:ext uri="{FF2B5EF4-FFF2-40B4-BE49-F238E27FC236}">
              <a16:creationId xmlns:a16="http://schemas.microsoft.com/office/drawing/2014/main" id="{44221CC2-7E52-4491-9BAC-852EF9BB39E0}"/>
            </a:ext>
          </a:extLst>
        </xdr:cNvPr>
        <xdr:cNvSpPr/>
      </xdr:nvSpPr>
      <xdr:spPr bwMode="auto">
        <a:xfrm>
          <a:off x="13624559" y="1577848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74</xdr:row>
      <xdr:rowOff>119380</xdr:rowOff>
    </xdr:from>
    <xdr:to>
      <xdr:col>19</xdr:col>
      <xdr:colOff>63500</xdr:colOff>
      <xdr:row>75</xdr:row>
      <xdr:rowOff>0</xdr:rowOff>
    </xdr:to>
    <xdr:sp macro="" textlink="">
      <xdr:nvSpPr>
        <xdr:cNvPr id="337" name="nuNumber: 351" hidden="1">
          <a:extLst>
            <a:ext uri="{FF2B5EF4-FFF2-40B4-BE49-F238E27FC236}">
              <a16:creationId xmlns:a16="http://schemas.microsoft.com/office/drawing/2014/main" id="{5830FA53-134D-4503-96D8-66929FCB116B}"/>
            </a:ext>
          </a:extLst>
        </xdr:cNvPr>
        <xdr:cNvSpPr/>
      </xdr:nvSpPr>
      <xdr:spPr bwMode="auto">
        <a:xfrm>
          <a:off x="14382750" y="15778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74</xdr:row>
      <xdr:rowOff>119380</xdr:rowOff>
    </xdr:from>
    <xdr:to>
      <xdr:col>20</xdr:col>
      <xdr:colOff>63500</xdr:colOff>
      <xdr:row>75</xdr:row>
      <xdr:rowOff>0</xdr:rowOff>
    </xdr:to>
    <xdr:sp macro="" textlink="">
      <xdr:nvSpPr>
        <xdr:cNvPr id="338" name="nuNumber: 352" hidden="1">
          <a:extLst>
            <a:ext uri="{FF2B5EF4-FFF2-40B4-BE49-F238E27FC236}">
              <a16:creationId xmlns:a16="http://schemas.microsoft.com/office/drawing/2014/main" id="{3BACA3AF-4D3F-4B5A-9E01-9F59BD7FA96F}"/>
            </a:ext>
          </a:extLst>
        </xdr:cNvPr>
        <xdr:cNvSpPr/>
      </xdr:nvSpPr>
      <xdr:spPr bwMode="auto">
        <a:xfrm>
          <a:off x="15135225" y="15778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74</xdr:row>
      <xdr:rowOff>119380</xdr:rowOff>
    </xdr:from>
    <xdr:to>
      <xdr:col>21</xdr:col>
      <xdr:colOff>63500</xdr:colOff>
      <xdr:row>75</xdr:row>
      <xdr:rowOff>0</xdr:rowOff>
    </xdr:to>
    <xdr:sp macro="" textlink="">
      <xdr:nvSpPr>
        <xdr:cNvPr id="339" name="nuNumber: 353" hidden="1">
          <a:extLst>
            <a:ext uri="{FF2B5EF4-FFF2-40B4-BE49-F238E27FC236}">
              <a16:creationId xmlns:a16="http://schemas.microsoft.com/office/drawing/2014/main" id="{A75A26D3-B363-4353-92AB-6C44FBAB2536}"/>
            </a:ext>
          </a:extLst>
        </xdr:cNvPr>
        <xdr:cNvSpPr/>
      </xdr:nvSpPr>
      <xdr:spPr bwMode="auto">
        <a:xfrm>
          <a:off x="15849600" y="157784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75</xdr:row>
      <xdr:rowOff>119381</xdr:rowOff>
    </xdr:from>
    <xdr:to>
      <xdr:col>8</xdr:col>
      <xdr:colOff>63500</xdr:colOff>
      <xdr:row>76</xdr:row>
      <xdr:rowOff>1</xdr:rowOff>
    </xdr:to>
    <xdr:sp macro="" textlink="">
      <xdr:nvSpPr>
        <xdr:cNvPr id="340" name="nuNumber: 354" hidden="1">
          <a:extLst>
            <a:ext uri="{FF2B5EF4-FFF2-40B4-BE49-F238E27FC236}">
              <a16:creationId xmlns:a16="http://schemas.microsoft.com/office/drawing/2014/main" id="{26F926AE-1389-4EE3-840E-CFE0E36F5977}"/>
            </a:ext>
          </a:extLst>
        </xdr:cNvPr>
        <xdr:cNvSpPr/>
      </xdr:nvSpPr>
      <xdr:spPr bwMode="auto">
        <a:xfrm>
          <a:off x="5562600" y="1598803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75</xdr:row>
      <xdr:rowOff>119381</xdr:rowOff>
    </xdr:from>
    <xdr:to>
      <xdr:col>9</xdr:col>
      <xdr:colOff>63500</xdr:colOff>
      <xdr:row>76</xdr:row>
      <xdr:rowOff>1</xdr:rowOff>
    </xdr:to>
    <xdr:sp macro="" textlink="">
      <xdr:nvSpPr>
        <xdr:cNvPr id="341" name="nuNumber: 355" hidden="1">
          <a:extLst>
            <a:ext uri="{FF2B5EF4-FFF2-40B4-BE49-F238E27FC236}">
              <a16:creationId xmlns:a16="http://schemas.microsoft.com/office/drawing/2014/main" id="{E783AA3F-8602-4AB4-A1C4-A22AFC8EFC7E}"/>
            </a:ext>
          </a:extLst>
        </xdr:cNvPr>
        <xdr:cNvSpPr/>
      </xdr:nvSpPr>
      <xdr:spPr bwMode="auto">
        <a:xfrm>
          <a:off x="6467475" y="1598803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75</xdr:row>
      <xdr:rowOff>119381</xdr:rowOff>
    </xdr:from>
    <xdr:to>
      <xdr:col>9</xdr:col>
      <xdr:colOff>63500</xdr:colOff>
      <xdr:row>76</xdr:row>
      <xdr:rowOff>1</xdr:rowOff>
    </xdr:to>
    <xdr:sp macro="" textlink="">
      <xdr:nvSpPr>
        <xdr:cNvPr id="342" name="nuNumber: 356" hidden="1">
          <a:extLst>
            <a:ext uri="{FF2B5EF4-FFF2-40B4-BE49-F238E27FC236}">
              <a16:creationId xmlns:a16="http://schemas.microsoft.com/office/drawing/2014/main" id="{A8A3CEF9-A167-4CE0-BF87-3BAFC0C839A7}"/>
            </a:ext>
          </a:extLst>
        </xdr:cNvPr>
        <xdr:cNvSpPr/>
      </xdr:nvSpPr>
      <xdr:spPr bwMode="auto">
        <a:xfrm>
          <a:off x="6467475" y="1598803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75</xdr:row>
      <xdr:rowOff>119381</xdr:rowOff>
    </xdr:from>
    <xdr:to>
      <xdr:col>10</xdr:col>
      <xdr:colOff>63500</xdr:colOff>
      <xdr:row>76</xdr:row>
      <xdr:rowOff>1</xdr:rowOff>
    </xdr:to>
    <xdr:sp macro="" textlink="">
      <xdr:nvSpPr>
        <xdr:cNvPr id="343" name="nuNumber: 357" hidden="1">
          <a:extLst>
            <a:ext uri="{FF2B5EF4-FFF2-40B4-BE49-F238E27FC236}">
              <a16:creationId xmlns:a16="http://schemas.microsoft.com/office/drawing/2014/main" id="{5C42C118-80F9-4BE3-AFF4-92B178686C4A}"/>
            </a:ext>
          </a:extLst>
        </xdr:cNvPr>
        <xdr:cNvSpPr/>
      </xdr:nvSpPr>
      <xdr:spPr bwMode="auto">
        <a:xfrm>
          <a:off x="7315200" y="1598803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75</xdr:row>
      <xdr:rowOff>119381</xdr:rowOff>
    </xdr:from>
    <xdr:to>
      <xdr:col>11</xdr:col>
      <xdr:colOff>63500</xdr:colOff>
      <xdr:row>76</xdr:row>
      <xdr:rowOff>1</xdr:rowOff>
    </xdr:to>
    <xdr:sp macro="" textlink="">
      <xdr:nvSpPr>
        <xdr:cNvPr id="344" name="nuNumber: 358" hidden="1">
          <a:extLst>
            <a:ext uri="{FF2B5EF4-FFF2-40B4-BE49-F238E27FC236}">
              <a16:creationId xmlns:a16="http://schemas.microsoft.com/office/drawing/2014/main" id="{97110BC5-1F39-48A2-9800-B502D434539F}"/>
            </a:ext>
          </a:extLst>
        </xdr:cNvPr>
        <xdr:cNvSpPr/>
      </xdr:nvSpPr>
      <xdr:spPr bwMode="auto">
        <a:xfrm>
          <a:off x="8105775" y="1598803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75</xdr:row>
      <xdr:rowOff>119381</xdr:rowOff>
    </xdr:from>
    <xdr:to>
      <xdr:col>12</xdr:col>
      <xdr:colOff>63500</xdr:colOff>
      <xdr:row>76</xdr:row>
      <xdr:rowOff>1</xdr:rowOff>
    </xdr:to>
    <xdr:sp macro="" textlink="">
      <xdr:nvSpPr>
        <xdr:cNvPr id="345" name="nuNumber: 359" hidden="1">
          <a:extLst>
            <a:ext uri="{FF2B5EF4-FFF2-40B4-BE49-F238E27FC236}">
              <a16:creationId xmlns:a16="http://schemas.microsoft.com/office/drawing/2014/main" id="{DA2BF8E5-506B-4848-A326-3B0C9A172C65}"/>
            </a:ext>
          </a:extLst>
        </xdr:cNvPr>
        <xdr:cNvSpPr/>
      </xdr:nvSpPr>
      <xdr:spPr bwMode="auto">
        <a:xfrm>
          <a:off x="8972550" y="1598803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75</xdr:row>
      <xdr:rowOff>119381</xdr:rowOff>
    </xdr:from>
    <xdr:to>
      <xdr:col>13</xdr:col>
      <xdr:colOff>63500</xdr:colOff>
      <xdr:row>76</xdr:row>
      <xdr:rowOff>1</xdr:rowOff>
    </xdr:to>
    <xdr:sp macro="" textlink="">
      <xdr:nvSpPr>
        <xdr:cNvPr id="346" name="nuNumber: 360" hidden="1">
          <a:extLst>
            <a:ext uri="{FF2B5EF4-FFF2-40B4-BE49-F238E27FC236}">
              <a16:creationId xmlns:a16="http://schemas.microsoft.com/office/drawing/2014/main" id="{22AA1F24-6B9B-400B-A789-3017D8488F6A}"/>
            </a:ext>
          </a:extLst>
        </xdr:cNvPr>
        <xdr:cNvSpPr/>
      </xdr:nvSpPr>
      <xdr:spPr bwMode="auto">
        <a:xfrm>
          <a:off x="9753600" y="1598803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75</xdr:row>
      <xdr:rowOff>119381</xdr:rowOff>
    </xdr:from>
    <xdr:to>
      <xdr:col>14</xdr:col>
      <xdr:colOff>63500</xdr:colOff>
      <xdr:row>76</xdr:row>
      <xdr:rowOff>1</xdr:rowOff>
    </xdr:to>
    <xdr:sp macro="" textlink="">
      <xdr:nvSpPr>
        <xdr:cNvPr id="347" name="nuNumber: 361" hidden="1">
          <a:extLst>
            <a:ext uri="{FF2B5EF4-FFF2-40B4-BE49-F238E27FC236}">
              <a16:creationId xmlns:a16="http://schemas.microsoft.com/office/drawing/2014/main" id="{1055D5E9-1F01-4660-B06B-2DD835662E11}"/>
            </a:ext>
          </a:extLst>
        </xdr:cNvPr>
        <xdr:cNvSpPr/>
      </xdr:nvSpPr>
      <xdr:spPr bwMode="auto">
        <a:xfrm>
          <a:off x="10515600" y="1598803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75</xdr:row>
      <xdr:rowOff>119381</xdr:rowOff>
    </xdr:from>
    <xdr:to>
      <xdr:col>15</xdr:col>
      <xdr:colOff>63500</xdr:colOff>
      <xdr:row>76</xdr:row>
      <xdr:rowOff>1</xdr:rowOff>
    </xdr:to>
    <xdr:sp macro="" textlink="">
      <xdr:nvSpPr>
        <xdr:cNvPr id="348" name="nuNumber: 362" hidden="1">
          <a:extLst>
            <a:ext uri="{FF2B5EF4-FFF2-40B4-BE49-F238E27FC236}">
              <a16:creationId xmlns:a16="http://schemas.microsoft.com/office/drawing/2014/main" id="{B5FB30AB-3AE1-45D9-8C20-7BD0D709AB89}"/>
            </a:ext>
          </a:extLst>
        </xdr:cNvPr>
        <xdr:cNvSpPr/>
      </xdr:nvSpPr>
      <xdr:spPr bwMode="auto">
        <a:xfrm>
          <a:off x="11325225" y="1598803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75</xdr:row>
      <xdr:rowOff>119381</xdr:rowOff>
    </xdr:from>
    <xdr:to>
      <xdr:col>16</xdr:col>
      <xdr:colOff>63500</xdr:colOff>
      <xdr:row>76</xdr:row>
      <xdr:rowOff>1</xdr:rowOff>
    </xdr:to>
    <xdr:sp macro="" textlink="">
      <xdr:nvSpPr>
        <xdr:cNvPr id="349" name="nuNumber: 363" hidden="1">
          <a:extLst>
            <a:ext uri="{FF2B5EF4-FFF2-40B4-BE49-F238E27FC236}">
              <a16:creationId xmlns:a16="http://schemas.microsoft.com/office/drawing/2014/main" id="{EB656246-7373-4007-BB4F-46F44955FF6D}"/>
            </a:ext>
          </a:extLst>
        </xdr:cNvPr>
        <xdr:cNvSpPr/>
      </xdr:nvSpPr>
      <xdr:spPr bwMode="auto">
        <a:xfrm>
          <a:off x="12106275" y="1598803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75</xdr:row>
      <xdr:rowOff>119381</xdr:rowOff>
    </xdr:from>
    <xdr:to>
      <xdr:col>17</xdr:col>
      <xdr:colOff>63500</xdr:colOff>
      <xdr:row>76</xdr:row>
      <xdr:rowOff>1</xdr:rowOff>
    </xdr:to>
    <xdr:sp macro="" textlink="">
      <xdr:nvSpPr>
        <xdr:cNvPr id="350" name="nuNumber: 364" hidden="1">
          <a:extLst>
            <a:ext uri="{FF2B5EF4-FFF2-40B4-BE49-F238E27FC236}">
              <a16:creationId xmlns:a16="http://schemas.microsoft.com/office/drawing/2014/main" id="{FE8B9332-D10D-440D-97F5-AD4516E50C75}"/>
            </a:ext>
          </a:extLst>
        </xdr:cNvPr>
        <xdr:cNvSpPr/>
      </xdr:nvSpPr>
      <xdr:spPr bwMode="auto">
        <a:xfrm>
          <a:off x="12887325" y="1598803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75</xdr:row>
      <xdr:rowOff>119381</xdr:rowOff>
    </xdr:from>
    <xdr:to>
      <xdr:col>18</xdr:col>
      <xdr:colOff>63499</xdr:colOff>
      <xdr:row>76</xdr:row>
      <xdr:rowOff>1</xdr:rowOff>
    </xdr:to>
    <xdr:sp macro="" textlink="">
      <xdr:nvSpPr>
        <xdr:cNvPr id="351" name="nuNumber: 365" hidden="1">
          <a:extLst>
            <a:ext uri="{FF2B5EF4-FFF2-40B4-BE49-F238E27FC236}">
              <a16:creationId xmlns:a16="http://schemas.microsoft.com/office/drawing/2014/main" id="{200F18E8-9808-43B7-AF65-AF99A25BAC1A}"/>
            </a:ext>
          </a:extLst>
        </xdr:cNvPr>
        <xdr:cNvSpPr/>
      </xdr:nvSpPr>
      <xdr:spPr bwMode="auto">
        <a:xfrm>
          <a:off x="13624559" y="15988031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75</xdr:row>
      <xdr:rowOff>119381</xdr:rowOff>
    </xdr:from>
    <xdr:to>
      <xdr:col>19</xdr:col>
      <xdr:colOff>63500</xdr:colOff>
      <xdr:row>76</xdr:row>
      <xdr:rowOff>1</xdr:rowOff>
    </xdr:to>
    <xdr:sp macro="" textlink="">
      <xdr:nvSpPr>
        <xdr:cNvPr id="352" name="nuNumber: 366" hidden="1">
          <a:extLst>
            <a:ext uri="{FF2B5EF4-FFF2-40B4-BE49-F238E27FC236}">
              <a16:creationId xmlns:a16="http://schemas.microsoft.com/office/drawing/2014/main" id="{DC578F7B-8D59-42F9-A4B2-E9C5000BF790}"/>
            </a:ext>
          </a:extLst>
        </xdr:cNvPr>
        <xdr:cNvSpPr/>
      </xdr:nvSpPr>
      <xdr:spPr bwMode="auto">
        <a:xfrm>
          <a:off x="14382750" y="1598803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75</xdr:row>
      <xdr:rowOff>119381</xdr:rowOff>
    </xdr:from>
    <xdr:to>
      <xdr:col>20</xdr:col>
      <xdr:colOff>63500</xdr:colOff>
      <xdr:row>76</xdr:row>
      <xdr:rowOff>1</xdr:rowOff>
    </xdr:to>
    <xdr:sp macro="" textlink="">
      <xdr:nvSpPr>
        <xdr:cNvPr id="353" name="nuNumber: 367" hidden="1">
          <a:extLst>
            <a:ext uri="{FF2B5EF4-FFF2-40B4-BE49-F238E27FC236}">
              <a16:creationId xmlns:a16="http://schemas.microsoft.com/office/drawing/2014/main" id="{49AC0737-BB41-44B7-A6C8-075BA759A014}"/>
            </a:ext>
          </a:extLst>
        </xdr:cNvPr>
        <xdr:cNvSpPr/>
      </xdr:nvSpPr>
      <xdr:spPr bwMode="auto">
        <a:xfrm>
          <a:off x="15135225" y="1598803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75</xdr:row>
      <xdr:rowOff>119381</xdr:rowOff>
    </xdr:from>
    <xdr:to>
      <xdr:col>21</xdr:col>
      <xdr:colOff>63500</xdr:colOff>
      <xdr:row>76</xdr:row>
      <xdr:rowOff>1</xdr:rowOff>
    </xdr:to>
    <xdr:sp macro="" textlink="">
      <xdr:nvSpPr>
        <xdr:cNvPr id="354" name="nuNumber: 368" hidden="1">
          <a:extLst>
            <a:ext uri="{FF2B5EF4-FFF2-40B4-BE49-F238E27FC236}">
              <a16:creationId xmlns:a16="http://schemas.microsoft.com/office/drawing/2014/main" id="{C56CCE94-42C6-4673-B1F9-65DF95983CF4}"/>
            </a:ext>
          </a:extLst>
        </xdr:cNvPr>
        <xdr:cNvSpPr/>
      </xdr:nvSpPr>
      <xdr:spPr bwMode="auto">
        <a:xfrm>
          <a:off x="15849600" y="1598803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76</xdr:row>
      <xdr:rowOff>119379</xdr:rowOff>
    </xdr:from>
    <xdr:to>
      <xdr:col>8</xdr:col>
      <xdr:colOff>63500</xdr:colOff>
      <xdr:row>76</xdr:row>
      <xdr:rowOff>182879</xdr:rowOff>
    </xdr:to>
    <xdr:sp macro="" textlink="">
      <xdr:nvSpPr>
        <xdr:cNvPr id="355" name="nuNumber: 369" hidden="1">
          <a:extLst>
            <a:ext uri="{FF2B5EF4-FFF2-40B4-BE49-F238E27FC236}">
              <a16:creationId xmlns:a16="http://schemas.microsoft.com/office/drawing/2014/main" id="{65871BD9-CF80-4814-A0C3-83453E1A9DED}"/>
            </a:ext>
          </a:extLst>
        </xdr:cNvPr>
        <xdr:cNvSpPr/>
      </xdr:nvSpPr>
      <xdr:spPr bwMode="auto">
        <a:xfrm>
          <a:off x="5562600" y="161975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76</xdr:row>
      <xdr:rowOff>119379</xdr:rowOff>
    </xdr:from>
    <xdr:to>
      <xdr:col>9</xdr:col>
      <xdr:colOff>63500</xdr:colOff>
      <xdr:row>76</xdr:row>
      <xdr:rowOff>182879</xdr:rowOff>
    </xdr:to>
    <xdr:sp macro="" textlink="">
      <xdr:nvSpPr>
        <xdr:cNvPr id="356" name="nuNumber: 370" hidden="1">
          <a:extLst>
            <a:ext uri="{FF2B5EF4-FFF2-40B4-BE49-F238E27FC236}">
              <a16:creationId xmlns:a16="http://schemas.microsoft.com/office/drawing/2014/main" id="{AAD61E0B-6FDC-4754-8A64-47D26B860323}"/>
            </a:ext>
          </a:extLst>
        </xdr:cNvPr>
        <xdr:cNvSpPr/>
      </xdr:nvSpPr>
      <xdr:spPr bwMode="auto">
        <a:xfrm>
          <a:off x="6467475" y="161975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76</xdr:row>
      <xdr:rowOff>119379</xdr:rowOff>
    </xdr:from>
    <xdr:to>
      <xdr:col>9</xdr:col>
      <xdr:colOff>63500</xdr:colOff>
      <xdr:row>76</xdr:row>
      <xdr:rowOff>182879</xdr:rowOff>
    </xdr:to>
    <xdr:sp macro="" textlink="">
      <xdr:nvSpPr>
        <xdr:cNvPr id="357" name="nuNumber: 371" hidden="1">
          <a:extLst>
            <a:ext uri="{FF2B5EF4-FFF2-40B4-BE49-F238E27FC236}">
              <a16:creationId xmlns:a16="http://schemas.microsoft.com/office/drawing/2014/main" id="{34496135-8B17-40BC-805F-40AD69D3D762}"/>
            </a:ext>
          </a:extLst>
        </xdr:cNvPr>
        <xdr:cNvSpPr/>
      </xdr:nvSpPr>
      <xdr:spPr bwMode="auto">
        <a:xfrm>
          <a:off x="6467475" y="161975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76</xdr:row>
      <xdr:rowOff>119379</xdr:rowOff>
    </xdr:from>
    <xdr:to>
      <xdr:col>10</xdr:col>
      <xdr:colOff>63500</xdr:colOff>
      <xdr:row>76</xdr:row>
      <xdr:rowOff>182879</xdr:rowOff>
    </xdr:to>
    <xdr:sp macro="" textlink="">
      <xdr:nvSpPr>
        <xdr:cNvPr id="358" name="nuNumber: 372" hidden="1">
          <a:extLst>
            <a:ext uri="{FF2B5EF4-FFF2-40B4-BE49-F238E27FC236}">
              <a16:creationId xmlns:a16="http://schemas.microsoft.com/office/drawing/2014/main" id="{22DFE599-6AC5-4ACE-BD1D-14CF29FAFCDE}"/>
            </a:ext>
          </a:extLst>
        </xdr:cNvPr>
        <xdr:cNvSpPr/>
      </xdr:nvSpPr>
      <xdr:spPr bwMode="auto">
        <a:xfrm>
          <a:off x="7315200" y="161975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76</xdr:row>
      <xdr:rowOff>119379</xdr:rowOff>
    </xdr:from>
    <xdr:to>
      <xdr:col>11</xdr:col>
      <xdr:colOff>63500</xdr:colOff>
      <xdr:row>76</xdr:row>
      <xdr:rowOff>182879</xdr:rowOff>
    </xdr:to>
    <xdr:sp macro="" textlink="">
      <xdr:nvSpPr>
        <xdr:cNvPr id="359" name="nuNumber: 373" hidden="1">
          <a:extLst>
            <a:ext uri="{FF2B5EF4-FFF2-40B4-BE49-F238E27FC236}">
              <a16:creationId xmlns:a16="http://schemas.microsoft.com/office/drawing/2014/main" id="{983264BD-0901-408D-87D4-EB146E724A3D}"/>
            </a:ext>
          </a:extLst>
        </xdr:cNvPr>
        <xdr:cNvSpPr/>
      </xdr:nvSpPr>
      <xdr:spPr bwMode="auto">
        <a:xfrm>
          <a:off x="8105775" y="161975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76</xdr:row>
      <xdr:rowOff>119379</xdr:rowOff>
    </xdr:from>
    <xdr:to>
      <xdr:col>12</xdr:col>
      <xdr:colOff>63500</xdr:colOff>
      <xdr:row>76</xdr:row>
      <xdr:rowOff>182879</xdr:rowOff>
    </xdr:to>
    <xdr:sp macro="" textlink="">
      <xdr:nvSpPr>
        <xdr:cNvPr id="360" name="nuNumber: 374" hidden="1">
          <a:extLst>
            <a:ext uri="{FF2B5EF4-FFF2-40B4-BE49-F238E27FC236}">
              <a16:creationId xmlns:a16="http://schemas.microsoft.com/office/drawing/2014/main" id="{0C9F741C-A9D0-4C3E-922E-5832995AC7B6}"/>
            </a:ext>
          </a:extLst>
        </xdr:cNvPr>
        <xdr:cNvSpPr/>
      </xdr:nvSpPr>
      <xdr:spPr bwMode="auto">
        <a:xfrm>
          <a:off x="8972550" y="161975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76</xdr:row>
      <xdr:rowOff>119379</xdr:rowOff>
    </xdr:from>
    <xdr:to>
      <xdr:col>13</xdr:col>
      <xdr:colOff>63500</xdr:colOff>
      <xdr:row>76</xdr:row>
      <xdr:rowOff>182879</xdr:rowOff>
    </xdr:to>
    <xdr:sp macro="" textlink="">
      <xdr:nvSpPr>
        <xdr:cNvPr id="361" name="nuNumber: 375" hidden="1">
          <a:extLst>
            <a:ext uri="{FF2B5EF4-FFF2-40B4-BE49-F238E27FC236}">
              <a16:creationId xmlns:a16="http://schemas.microsoft.com/office/drawing/2014/main" id="{07A9F95A-7025-45FC-B00A-4F7D0A63F519}"/>
            </a:ext>
          </a:extLst>
        </xdr:cNvPr>
        <xdr:cNvSpPr/>
      </xdr:nvSpPr>
      <xdr:spPr bwMode="auto">
        <a:xfrm>
          <a:off x="9753600" y="161975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76</xdr:row>
      <xdr:rowOff>119379</xdr:rowOff>
    </xdr:from>
    <xdr:to>
      <xdr:col>14</xdr:col>
      <xdr:colOff>63500</xdr:colOff>
      <xdr:row>76</xdr:row>
      <xdr:rowOff>182879</xdr:rowOff>
    </xdr:to>
    <xdr:sp macro="" textlink="">
      <xdr:nvSpPr>
        <xdr:cNvPr id="362" name="nuNumber: 376" hidden="1">
          <a:extLst>
            <a:ext uri="{FF2B5EF4-FFF2-40B4-BE49-F238E27FC236}">
              <a16:creationId xmlns:a16="http://schemas.microsoft.com/office/drawing/2014/main" id="{54FA7675-142E-413E-94B9-FFAE4C945A82}"/>
            </a:ext>
          </a:extLst>
        </xdr:cNvPr>
        <xdr:cNvSpPr/>
      </xdr:nvSpPr>
      <xdr:spPr bwMode="auto">
        <a:xfrm>
          <a:off x="10515600" y="161975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76</xdr:row>
      <xdr:rowOff>119379</xdr:rowOff>
    </xdr:from>
    <xdr:to>
      <xdr:col>15</xdr:col>
      <xdr:colOff>63500</xdr:colOff>
      <xdr:row>76</xdr:row>
      <xdr:rowOff>182879</xdr:rowOff>
    </xdr:to>
    <xdr:sp macro="" textlink="">
      <xdr:nvSpPr>
        <xdr:cNvPr id="363" name="nuNumber: 377" hidden="1">
          <a:extLst>
            <a:ext uri="{FF2B5EF4-FFF2-40B4-BE49-F238E27FC236}">
              <a16:creationId xmlns:a16="http://schemas.microsoft.com/office/drawing/2014/main" id="{AA8D2450-17C0-4FAA-9746-0EEAA23AB8B4}"/>
            </a:ext>
          </a:extLst>
        </xdr:cNvPr>
        <xdr:cNvSpPr/>
      </xdr:nvSpPr>
      <xdr:spPr bwMode="auto">
        <a:xfrm>
          <a:off x="11325225" y="161975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76</xdr:row>
      <xdr:rowOff>119379</xdr:rowOff>
    </xdr:from>
    <xdr:to>
      <xdr:col>16</xdr:col>
      <xdr:colOff>63500</xdr:colOff>
      <xdr:row>76</xdr:row>
      <xdr:rowOff>182879</xdr:rowOff>
    </xdr:to>
    <xdr:sp macro="" textlink="">
      <xdr:nvSpPr>
        <xdr:cNvPr id="364" name="nuNumber: 378" hidden="1">
          <a:extLst>
            <a:ext uri="{FF2B5EF4-FFF2-40B4-BE49-F238E27FC236}">
              <a16:creationId xmlns:a16="http://schemas.microsoft.com/office/drawing/2014/main" id="{DB8E2366-BD08-4EFD-A779-400B1062164E}"/>
            </a:ext>
          </a:extLst>
        </xdr:cNvPr>
        <xdr:cNvSpPr/>
      </xdr:nvSpPr>
      <xdr:spPr bwMode="auto">
        <a:xfrm>
          <a:off x="12106275" y="161975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76</xdr:row>
      <xdr:rowOff>119379</xdr:rowOff>
    </xdr:from>
    <xdr:to>
      <xdr:col>17</xdr:col>
      <xdr:colOff>63500</xdr:colOff>
      <xdr:row>76</xdr:row>
      <xdr:rowOff>182879</xdr:rowOff>
    </xdr:to>
    <xdr:sp macro="" textlink="">
      <xdr:nvSpPr>
        <xdr:cNvPr id="365" name="nuNumber: 379" hidden="1">
          <a:extLst>
            <a:ext uri="{FF2B5EF4-FFF2-40B4-BE49-F238E27FC236}">
              <a16:creationId xmlns:a16="http://schemas.microsoft.com/office/drawing/2014/main" id="{071ECB7F-92A3-48D3-8BC0-229A5A7D1E02}"/>
            </a:ext>
          </a:extLst>
        </xdr:cNvPr>
        <xdr:cNvSpPr/>
      </xdr:nvSpPr>
      <xdr:spPr bwMode="auto">
        <a:xfrm>
          <a:off x="12887325" y="161975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76</xdr:row>
      <xdr:rowOff>119379</xdr:rowOff>
    </xdr:from>
    <xdr:to>
      <xdr:col>18</xdr:col>
      <xdr:colOff>63499</xdr:colOff>
      <xdr:row>76</xdr:row>
      <xdr:rowOff>182879</xdr:rowOff>
    </xdr:to>
    <xdr:sp macro="" textlink="">
      <xdr:nvSpPr>
        <xdr:cNvPr id="366" name="nuNumber: 380" hidden="1">
          <a:extLst>
            <a:ext uri="{FF2B5EF4-FFF2-40B4-BE49-F238E27FC236}">
              <a16:creationId xmlns:a16="http://schemas.microsoft.com/office/drawing/2014/main" id="{4A19EE95-1224-4A91-983A-E96B6C374A67}"/>
            </a:ext>
          </a:extLst>
        </xdr:cNvPr>
        <xdr:cNvSpPr/>
      </xdr:nvSpPr>
      <xdr:spPr bwMode="auto">
        <a:xfrm>
          <a:off x="13624559" y="16197579"/>
          <a:ext cx="5969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76</xdr:row>
      <xdr:rowOff>119379</xdr:rowOff>
    </xdr:from>
    <xdr:to>
      <xdr:col>19</xdr:col>
      <xdr:colOff>63500</xdr:colOff>
      <xdr:row>76</xdr:row>
      <xdr:rowOff>182879</xdr:rowOff>
    </xdr:to>
    <xdr:sp macro="" textlink="">
      <xdr:nvSpPr>
        <xdr:cNvPr id="367" name="nuNumber: 381" hidden="1">
          <a:extLst>
            <a:ext uri="{FF2B5EF4-FFF2-40B4-BE49-F238E27FC236}">
              <a16:creationId xmlns:a16="http://schemas.microsoft.com/office/drawing/2014/main" id="{E3A79033-2997-4DFA-BA53-95B8DC31B79E}"/>
            </a:ext>
          </a:extLst>
        </xdr:cNvPr>
        <xdr:cNvSpPr/>
      </xdr:nvSpPr>
      <xdr:spPr bwMode="auto">
        <a:xfrm>
          <a:off x="14382750" y="161975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76</xdr:row>
      <xdr:rowOff>119379</xdr:rowOff>
    </xdr:from>
    <xdr:to>
      <xdr:col>20</xdr:col>
      <xdr:colOff>63500</xdr:colOff>
      <xdr:row>76</xdr:row>
      <xdr:rowOff>182879</xdr:rowOff>
    </xdr:to>
    <xdr:sp macro="" textlink="">
      <xdr:nvSpPr>
        <xdr:cNvPr id="368" name="nuNumber: 382" hidden="1">
          <a:extLst>
            <a:ext uri="{FF2B5EF4-FFF2-40B4-BE49-F238E27FC236}">
              <a16:creationId xmlns:a16="http://schemas.microsoft.com/office/drawing/2014/main" id="{70DC60D5-A410-43D8-83DB-DE5D1EAE7C3B}"/>
            </a:ext>
          </a:extLst>
        </xdr:cNvPr>
        <xdr:cNvSpPr/>
      </xdr:nvSpPr>
      <xdr:spPr bwMode="auto">
        <a:xfrm>
          <a:off x="15135225" y="161975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76</xdr:row>
      <xdr:rowOff>119379</xdr:rowOff>
    </xdr:from>
    <xdr:to>
      <xdr:col>21</xdr:col>
      <xdr:colOff>63500</xdr:colOff>
      <xdr:row>76</xdr:row>
      <xdr:rowOff>182879</xdr:rowOff>
    </xdr:to>
    <xdr:sp macro="" textlink="">
      <xdr:nvSpPr>
        <xdr:cNvPr id="369" name="nuNumber: 383" hidden="1">
          <a:extLst>
            <a:ext uri="{FF2B5EF4-FFF2-40B4-BE49-F238E27FC236}">
              <a16:creationId xmlns:a16="http://schemas.microsoft.com/office/drawing/2014/main" id="{7E2D997D-52C8-4884-B4DE-A5669FB70DCA}"/>
            </a:ext>
          </a:extLst>
        </xdr:cNvPr>
        <xdr:cNvSpPr/>
      </xdr:nvSpPr>
      <xdr:spPr bwMode="auto">
        <a:xfrm>
          <a:off x="15849600" y="161975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77</xdr:row>
      <xdr:rowOff>119380</xdr:rowOff>
    </xdr:from>
    <xdr:to>
      <xdr:col>8</xdr:col>
      <xdr:colOff>63500</xdr:colOff>
      <xdr:row>78</xdr:row>
      <xdr:rowOff>0</xdr:rowOff>
    </xdr:to>
    <xdr:sp macro="" textlink="">
      <xdr:nvSpPr>
        <xdr:cNvPr id="370" name="nuNumber: 384" hidden="1">
          <a:extLst>
            <a:ext uri="{FF2B5EF4-FFF2-40B4-BE49-F238E27FC236}">
              <a16:creationId xmlns:a16="http://schemas.microsoft.com/office/drawing/2014/main" id="{AC9270D2-5456-467A-BC77-5048717562B2}"/>
            </a:ext>
          </a:extLst>
        </xdr:cNvPr>
        <xdr:cNvSpPr/>
      </xdr:nvSpPr>
      <xdr:spPr bwMode="auto">
        <a:xfrm>
          <a:off x="5562600" y="164071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77</xdr:row>
      <xdr:rowOff>119380</xdr:rowOff>
    </xdr:from>
    <xdr:to>
      <xdr:col>9</xdr:col>
      <xdr:colOff>63500</xdr:colOff>
      <xdr:row>78</xdr:row>
      <xdr:rowOff>0</xdr:rowOff>
    </xdr:to>
    <xdr:sp macro="" textlink="">
      <xdr:nvSpPr>
        <xdr:cNvPr id="371" name="nuNumber: 385" hidden="1">
          <a:extLst>
            <a:ext uri="{FF2B5EF4-FFF2-40B4-BE49-F238E27FC236}">
              <a16:creationId xmlns:a16="http://schemas.microsoft.com/office/drawing/2014/main" id="{321D6D3A-82A8-443E-96CF-65A3464A9B2B}"/>
            </a:ext>
          </a:extLst>
        </xdr:cNvPr>
        <xdr:cNvSpPr/>
      </xdr:nvSpPr>
      <xdr:spPr bwMode="auto">
        <a:xfrm>
          <a:off x="6467475" y="164071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77</xdr:row>
      <xdr:rowOff>119380</xdr:rowOff>
    </xdr:from>
    <xdr:to>
      <xdr:col>9</xdr:col>
      <xdr:colOff>63500</xdr:colOff>
      <xdr:row>78</xdr:row>
      <xdr:rowOff>0</xdr:rowOff>
    </xdr:to>
    <xdr:sp macro="" textlink="">
      <xdr:nvSpPr>
        <xdr:cNvPr id="372" name="nuNumber: 386" hidden="1">
          <a:extLst>
            <a:ext uri="{FF2B5EF4-FFF2-40B4-BE49-F238E27FC236}">
              <a16:creationId xmlns:a16="http://schemas.microsoft.com/office/drawing/2014/main" id="{F50A9708-20B9-4049-ABBB-C9C4C08CF772}"/>
            </a:ext>
          </a:extLst>
        </xdr:cNvPr>
        <xdr:cNvSpPr/>
      </xdr:nvSpPr>
      <xdr:spPr bwMode="auto">
        <a:xfrm>
          <a:off x="6467475" y="164071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77</xdr:row>
      <xdr:rowOff>119380</xdr:rowOff>
    </xdr:from>
    <xdr:to>
      <xdr:col>10</xdr:col>
      <xdr:colOff>63500</xdr:colOff>
      <xdr:row>78</xdr:row>
      <xdr:rowOff>0</xdr:rowOff>
    </xdr:to>
    <xdr:sp macro="" textlink="">
      <xdr:nvSpPr>
        <xdr:cNvPr id="373" name="nuNumber: 387" hidden="1">
          <a:extLst>
            <a:ext uri="{FF2B5EF4-FFF2-40B4-BE49-F238E27FC236}">
              <a16:creationId xmlns:a16="http://schemas.microsoft.com/office/drawing/2014/main" id="{2691B328-1F8D-4786-B272-D3DD03B50C81}"/>
            </a:ext>
          </a:extLst>
        </xdr:cNvPr>
        <xdr:cNvSpPr/>
      </xdr:nvSpPr>
      <xdr:spPr bwMode="auto">
        <a:xfrm>
          <a:off x="7315200" y="164071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77</xdr:row>
      <xdr:rowOff>119380</xdr:rowOff>
    </xdr:from>
    <xdr:to>
      <xdr:col>11</xdr:col>
      <xdr:colOff>63500</xdr:colOff>
      <xdr:row>78</xdr:row>
      <xdr:rowOff>0</xdr:rowOff>
    </xdr:to>
    <xdr:sp macro="" textlink="">
      <xdr:nvSpPr>
        <xdr:cNvPr id="374" name="nuNumber: 388" hidden="1">
          <a:extLst>
            <a:ext uri="{FF2B5EF4-FFF2-40B4-BE49-F238E27FC236}">
              <a16:creationId xmlns:a16="http://schemas.microsoft.com/office/drawing/2014/main" id="{973C390A-B1E6-4B26-9032-30D1A83F5B47}"/>
            </a:ext>
          </a:extLst>
        </xdr:cNvPr>
        <xdr:cNvSpPr/>
      </xdr:nvSpPr>
      <xdr:spPr bwMode="auto">
        <a:xfrm>
          <a:off x="8105775" y="164071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77</xdr:row>
      <xdr:rowOff>119380</xdr:rowOff>
    </xdr:from>
    <xdr:to>
      <xdr:col>12</xdr:col>
      <xdr:colOff>63500</xdr:colOff>
      <xdr:row>78</xdr:row>
      <xdr:rowOff>0</xdr:rowOff>
    </xdr:to>
    <xdr:sp macro="" textlink="">
      <xdr:nvSpPr>
        <xdr:cNvPr id="375" name="nuNumber: 389" hidden="1">
          <a:extLst>
            <a:ext uri="{FF2B5EF4-FFF2-40B4-BE49-F238E27FC236}">
              <a16:creationId xmlns:a16="http://schemas.microsoft.com/office/drawing/2014/main" id="{B58FAE02-6E06-4CEE-8FB5-2F5F002308FB}"/>
            </a:ext>
          </a:extLst>
        </xdr:cNvPr>
        <xdr:cNvSpPr/>
      </xdr:nvSpPr>
      <xdr:spPr bwMode="auto">
        <a:xfrm>
          <a:off x="8972550" y="164071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77</xdr:row>
      <xdr:rowOff>119380</xdr:rowOff>
    </xdr:from>
    <xdr:to>
      <xdr:col>13</xdr:col>
      <xdr:colOff>63500</xdr:colOff>
      <xdr:row>78</xdr:row>
      <xdr:rowOff>0</xdr:rowOff>
    </xdr:to>
    <xdr:sp macro="" textlink="">
      <xdr:nvSpPr>
        <xdr:cNvPr id="376" name="nuNumber: 390" hidden="1">
          <a:extLst>
            <a:ext uri="{FF2B5EF4-FFF2-40B4-BE49-F238E27FC236}">
              <a16:creationId xmlns:a16="http://schemas.microsoft.com/office/drawing/2014/main" id="{E24DA931-21BC-4C7D-A6CF-B8A7E7E3DBD9}"/>
            </a:ext>
          </a:extLst>
        </xdr:cNvPr>
        <xdr:cNvSpPr/>
      </xdr:nvSpPr>
      <xdr:spPr bwMode="auto">
        <a:xfrm>
          <a:off x="9753600" y="164071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77</xdr:row>
      <xdr:rowOff>119380</xdr:rowOff>
    </xdr:from>
    <xdr:to>
      <xdr:col>14</xdr:col>
      <xdr:colOff>63500</xdr:colOff>
      <xdr:row>78</xdr:row>
      <xdr:rowOff>0</xdr:rowOff>
    </xdr:to>
    <xdr:sp macro="" textlink="">
      <xdr:nvSpPr>
        <xdr:cNvPr id="377" name="nuNumber: 391" hidden="1">
          <a:extLst>
            <a:ext uri="{FF2B5EF4-FFF2-40B4-BE49-F238E27FC236}">
              <a16:creationId xmlns:a16="http://schemas.microsoft.com/office/drawing/2014/main" id="{75C43696-4688-42EC-8C07-DF30BCD12950}"/>
            </a:ext>
          </a:extLst>
        </xdr:cNvPr>
        <xdr:cNvSpPr/>
      </xdr:nvSpPr>
      <xdr:spPr bwMode="auto">
        <a:xfrm>
          <a:off x="10515600" y="164071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77</xdr:row>
      <xdr:rowOff>119380</xdr:rowOff>
    </xdr:from>
    <xdr:to>
      <xdr:col>15</xdr:col>
      <xdr:colOff>63500</xdr:colOff>
      <xdr:row>78</xdr:row>
      <xdr:rowOff>0</xdr:rowOff>
    </xdr:to>
    <xdr:sp macro="" textlink="">
      <xdr:nvSpPr>
        <xdr:cNvPr id="378" name="nuNumber: 392" hidden="1">
          <a:extLst>
            <a:ext uri="{FF2B5EF4-FFF2-40B4-BE49-F238E27FC236}">
              <a16:creationId xmlns:a16="http://schemas.microsoft.com/office/drawing/2014/main" id="{53A33D96-4541-4B89-9034-5A73A3B0A7B1}"/>
            </a:ext>
          </a:extLst>
        </xdr:cNvPr>
        <xdr:cNvSpPr/>
      </xdr:nvSpPr>
      <xdr:spPr bwMode="auto">
        <a:xfrm>
          <a:off x="11325225" y="164071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77</xdr:row>
      <xdr:rowOff>119380</xdr:rowOff>
    </xdr:from>
    <xdr:to>
      <xdr:col>16</xdr:col>
      <xdr:colOff>63500</xdr:colOff>
      <xdr:row>78</xdr:row>
      <xdr:rowOff>0</xdr:rowOff>
    </xdr:to>
    <xdr:sp macro="" textlink="">
      <xdr:nvSpPr>
        <xdr:cNvPr id="379" name="nuNumber: 393" hidden="1">
          <a:extLst>
            <a:ext uri="{FF2B5EF4-FFF2-40B4-BE49-F238E27FC236}">
              <a16:creationId xmlns:a16="http://schemas.microsoft.com/office/drawing/2014/main" id="{7D9EB030-6CB8-4ECA-AF36-1C487CC9FE29}"/>
            </a:ext>
          </a:extLst>
        </xdr:cNvPr>
        <xdr:cNvSpPr/>
      </xdr:nvSpPr>
      <xdr:spPr bwMode="auto">
        <a:xfrm>
          <a:off x="12106275" y="164071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77</xdr:row>
      <xdr:rowOff>119380</xdr:rowOff>
    </xdr:from>
    <xdr:to>
      <xdr:col>17</xdr:col>
      <xdr:colOff>63500</xdr:colOff>
      <xdr:row>78</xdr:row>
      <xdr:rowOff>0</xdr:rowOff>
    </xdr:to>
    <xdr:sp macro="" textlink="">
      <xdr:nvSpPr>
        <xdr:cNvPr id="380" name="nuNumber: 394" hidden="1">
          <a:extLst>
            <a:ext uri="{FF2B5EF4-FFF2-40B4-BE49-F238E27FC236}">
              <a16:creationId xmlns:a16="http://schemas.microsoft.com/office/drawing/2014/main" id="{5FBCF3AA-F18E-4024-A882-FD3CFED071BB}"/>
            </a:ext>
          </a:extLst>
        </xdr:cNvPr>
        <xdr:cNvSpPr/>
      </xdr:nvSpPr>
      <xdr:spPr bwMode="auto">
        <a:xfrm>
          <a:off x="12887325" y="164071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77</xdr:row>
      <xdr:rowOff>119380</xdr:rowOff>
    </xdr:from>
    <xdr:to>
      <xdr:col>18</xdr:col>
      <xdr:colOff>63499</xdr:colOff>
      <xdr:row>78</xdr:row>
      <xdr:rowOff>0</xdr:rowOff>
    </xdr:to>
    <xdr:sp macro="" textlink="">
      <xdr:nvSpPr>
        <xdr:cNvPr id="381" name="nuNumber: 395" hidden="1">
          <a:extLst>
            <a:ext uri="{FF2B5EF4-FFF2-40B4-BE49-F238E27FC236}">
              <a16:creationId xmlns:a16="http://schemas.microsoft.com/office/drawing/2014/main" id="{5127E8D1-42DD-4185-9B12-93086711E25D}"/>
            </a:ext>
          </a:extLst>
        </xdr:cNvPr>
        <xdr:cNvSpPr/>
      </xdr:nvSpPr>
      <xdr:spPr bwMode="auto">
        <a:xfrm>
          <a:off x="13624559" y="1640713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77</xdr:row>
      <xdr:rowOff>119380</xdr:rowOff>
    </xdr:from>
    <xdr:to>
      <xdr:col>19</xdr:col>
      <xdr:colOff>63500</xdr:colOff>
      <xdr:row>78</xdr:row>
      <xdr:rowOff>0</xdr:rowOff>
    </xdr:to>
    <xdr:sp macro="" textlink="">
      <xdr:nvSpPr>
        <xdr:cNvPr id="382" name="nuNumber: 396" hidden="1">
          <a:extLst>
            <a:ext uri="{FF2B5EF4-FFF2-40B4-BE49-F238E27FC236}">
              <a16:creationId xmlns:a16="http://schemas.microsoft.com/office/drawing/2014/main" id="{200F2769-52C8-485B-A43E-379DB8FFB5B3}"/>
            </a:ext>
          </a:extLst>
        </xdr:cNvPr>
        <xdr:cNvSpPr/>
      </xdr:nvSpPr>
      <xdr:spPr bwMode="auto">
        <a:xfrm>
          <a:off x="14382750" y="164071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77</xdr:row>
      <xdr:rowOff>119380</xdr:rowOff>
    </xdr:from>
    <xdr:to>
      <xdr:col>20</xdr:col>
      <xdr:colOff>63500</xdr:colOff>
      <xdr:row>78</xdr:row>
      <xdr:rowOff>0</xdr:rowOff>
    </xdr:to>
    <xdr:sp macro="" textlink="">
      <xdr:nvSpPr>
        <xdr:cNvPr id="383" name="nuNumber: 397" hidden="1">
          <a:extLst>
            <a:ext uri="{FF2B5EF4-FFF2-40B4-BE49-F238E27FC236}">
              <a16:creationId xmlns:a16="http://schemas.microsoft.com/office/drawing/2014/main" id="{A464EFBA-85F7-408B-8040-F7B22ABC91F1}"/>
            </a:ext>
          </a:extLst>
        </xdr:cNvPr>
        <xdr:cNvSpPr/>
      </xdr:nvSpPr>
      <xdr:spPr bwMode="auto">
        <a:xfrm>
          <a:off x="15135225" y="164071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77</xdr:row>
      <xdr:rowOff>119380</xdr:rowOff>
    </xdr:from>
    <xdr:to>
      <xdr:col>21</xdr:col>
      <xdr:colOff>63500</xdr:colOff>
      <xdr:row>78</xdr:row>
      <xdr:rowOff>0</xdr:rowOff>
    </xdr:to>
    <xdr:sp macro="" textlink="">
      <xdr:nvSpPr>
        <xdr:cNvPr id="384" name="nuNumber: 398" hidden="1">
          <a:extLst>
            <a:ext uri="{FF2B5EF4-FFF2-40B4-BE49-F238E27FC236}">
              <a16:creationId xmlns:a16="http://schemas.microsoft.com/office/drawing/2014/main" id="{22469776-226D-4613-8752-B56BFB8050C7}"/>
            </a:ext>
          </a:extLst>
        </xdr:cNvPr>
        <xdr:cNvSpPr/>
      </xdr:nvSpPr>
      <xdr:spPr bwMode="auto">
        <a:xfrm>
          <a:off x="15849600" y="164071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80</xdr:row>
      <xdr:rowOff>119380</xdr:rowOff>
    </xdr:from>
    <xdr:to>
      <xdr:col>8</xdr:col>
      <xdr:colOff>63500</xdr:colOff>
      <xdr:row>81</xdr:row>
      <xdr:rowOff>0</xdr:rowOff>
    </xdr:to>
    <xdr:sp macro="" textlink="">
      <xdr:nvSpPr>
        <xdr:cNvPr id="385" name="nuNumber: 399" hidden="1">
          <a:extLst>
            <a:ext uri="{FF2B5EF4-FFF2-40B4-BE49-F238E27FC236}">
              <a16:creationId xmlns:a16="http://schemas.microsoft.com/office/drawing/2014/main" id="{63A59AEA-201F-4C51-93C6-C4EBB2917C1A}"/>
            </a:ext>
          </a:extLst>
        </xdr:cNvPr>
        <xdr:cNvSpPr/>
      </xdr:nvSpPr>
      <xdr:spPr bwMode="auto">
        <a:xfrm>
          <a:off x="5562600" y="170357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80</xdr:row>
      <xdr:rowOff>119380</xdr:rowOff>
    </xdr:from>
    <xdr:to>
      <xdr:col>9</xdr:col>
      <xdr:colOff>63500</xdr:colOff>
      <xdr:row>81</xdr:row>
      <xdr:rowOff>0</xdr:rowOff>
    </xdr:to>
    <xdr:sp macro="" textlink="">
      <xdr:nvSpPr>
        <xdr:cNvPr id="386" name="nuNumber: 400" hidden="1">
          <a:extLst>
            <a:ext uri="{FF2B5EF4-FFF2-40B4-BE49-F238E27FC236}">
              <a16:creationId xmlns:a16="http://schemas.microsoft.com/office/drawing/2014/main" id="{A9092160-2BA1-4F0D-8548-425914DF7A75}"/>
            </a:ext>
          </a:extLst>
        </xdr:cNvPr>
        <xdr:cNvSpPr/>
      </xdr:nvSpPr>
      <xdr:spPr bwMode="auto">
        <a:xfrm>
          <a:off x="6467475" y="170357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80</xdr:row>
      <xdr:rowOff>119380</xdr:rowOff>
    </xdr:from>
    <xdr:to>
      <xdr:col>10</xdr:col>
      <xdr:colOff>63500</xdr:colOff>
      <xdr:row>81</xdr:row>
      <xdr:rowOff>0</xdr:rowOff>
    </xdr:to>
    <xdr:sp macro="" textlink="">
      <xdr:nvSpPr>
        <xdr:cNvPr id="387" name="nuNumber: 401" hidden="1">
          <a:extLst>
            <a:ext uri="{FF2B5EF4-FFF2-40B4-BE49-F238E27FC236}">
              <a16:creationId xmlns:a16="http://schemas.microsoft.com/office/drawing/2014/main" id="{F3501CCB-3E85-4FA6-9579-7410777B9D77}"/>
            </a:ext>
          </a:extLst>
        </xdr:cNvPr>
        <xdr:cNvSpPr/>
      </xdr:nvSpPr>
      <xdr:spPr bwMode="auto">
        <a:xfrm>
          <a:off x="7315200" y="170357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80</xdr:row>
      <xdr:rowOff>119380</xdr:rowOff>
    </xdr:from>
    <xdr:to>
      <xdr:col>11</xdr:col>
      <xdr:colOff>63500</xdr:colOff>
      <xdr:row>81</xdr:row>
      <xdr:rowOff>0</xdr:rowOff>
    </xdr:to>
    <xdr:sp macro="" textlink="">
      <xdr:nvSpPr>
        <xdr:cNvPr id="388" name="nuNumber: 402" hidden="1">
          <a:extLst>
            <a:ext uri="{FF2B5EF4-FFF2-40B4-BE49-F238E27FC236}">
              <a16:creationId xmlns:a16="http://schemas.microsoft.com/office/drawing/2014/main" id="{7D1CB7E9-32D0-4738-BFDC-FA3A8AE072CE}"/>
            </a:ext>
          </a:extLst>
        </xdr:cNvPr>
        <xdr:cNvSpPr/>
      </xdr:nvSpPr>
      <xdr:spPr bwMode="auto">
        <a:xfrm>
          <a:off x="8105775" y="170357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80</xdr:row>
      <xdr:rowOff>119380</xdr:rowOff>
    </xdr:from>
    <xdr:to>
      <xdr:col>12</xdr:col>
      <xdr:colOff>63500</xdr:colOff>
      <xdr:row>81</xdr:row>
      <xdr:rowOff>0</xdr:rowOff>
    </xdr:to>
    <xdr:sp macro="" textlink="">
      <xdr:nvSpPr>
        <xdr:cNvPr id="389" name="nuNumber: 403" hidden="1">
          <a:extLst>
            <a:ext uri="{FF2B5EF4-FFF2-40B4-BE49-F238E27FC236}">
              <a16:creationId xmlns:a16="http://schemas.microsoft.com/office/drawing/2014/main" id="{61E595D9-F90F-4239-96FC-A672BDA53870}"/>
            </a:ext>
          </a:extLst>
        </xdr:cNvPr>
        <xdr:cNvSpPr/>
      </xdr:nvSpPr>
      <xdr:spPr bwMode="auto">
        <a:xfrm>
          <a:off x="8972550" y="170357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80</xdr:row>
      <xdr:rowOff>119380</xdr:rowOff>
    </xdr:from>
    <xdr:to>
      <xdr:col>13</xdr:col>
      <xdr:colOff>63500</xdr:colOff>
      <xdr:row>81</xdr:row>
      <xdr:rowOff>0</xdr:rowOff>
    </xdr:to>
    <xdr:sp macro="" textlink="">
      <xdr:nvSpPr>
        <xdr:cNvPr id="390" name="nuNumber: 404" hidden="1">
          <a:extLst>
            <a:ext uri="{FF2B5EF4-FFF2-40B4-BE49-F238E27FC236}">
              <a16:creationId xmlns:a16="http://schemas.microsoft.com/office/drawing/2014/main" id="{D210C82F-EF76-4C4F-B54F-F475F2FFFC0B}"/>
            </a:ext>
          </a:extLst>
        </xdr:cNvPr>
        <xdr:cNvSpPr/>
      </xdr:nvSpPr>
      <xdr:spPr bwMode="auto">
        <a:xfrm>
          <a:off x="9753600" y="170357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80</xdr:row>
      <xdr:rowOff>119380</xdr:rowOff>
    </xdr:from>
    <xdr:to>
      <xdr:col>14</xdr:col>
      <xdr:colOff>63500</xdr:colOff>
      <xdr:row>81</xdr:row>
      <xdr:rowOff>0</xdr:rowOff>
    </xdr:to>
    <xdr:sp macro="" textlink="">
      <xdr:nvSpPr>
        <xdr:cNvPr id="391" name="nuNumber: 405" hidden="1">
          <a:extLst>
            <a:ext uri="{FF2B5EF4-FFF2-40B4-BE49-F238E27FC236}">
              <a16:creationId xmlns:a16="http://schemas.microsoft.com/office/drawing/2014/main" id="{91AA489D-845C-4CF0-ADC6-080E41E0D40D}"/>
            </a:ext>
          </a:extLst>
        </xdr:cNvPr>
        <xdr:cNvSpPr/>
      </xdr:nvSpPr>
      <xdr:spPr bwMode="auto">
        <a:xfrm>
          <a:off x="10515600" y="170357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80</xdr:row>
      <xdr:rowOff>119380</xdr:rowOff>
    </xdr:from>
    <xdr:to>
      <xdr:col>15</xdr:col>
      <xdr:colOff>63500</xdr:colOff>
      <xdr:row>81</xdr:row>
      <xdr:rowOff>0</xdr:rowOff>
    </xdr:to>
    <xdr:sp macro="" textlink="">
      <xdr:nvSpPr>
        <xdr:cNvPr id="392" name="nuNumber: 406" hidden="1">
          <a:extLst>
            <a:ext uri="{FF2B5EF4-FFF2-40B4-BE49-F238E27FC236}">
              <a16:creationId xmlns:a16="http://schemas.microsoft.com/office/drawing/2014/main" id="{CDE71250-B54F-4CF3-B627-6531B391D0A8}"/>
            </a:ext>
          </a:extLst>
        </xdr:cNvPr>
        <xdr:cNvSpPr/>
      </xdr:nvSpPr>
      <xdr:spPr bwMode="auto">
        <a:xfrm>
          <a:off x="11325225" y="170357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80</xdr:row>
      <xdr:rowOff>119380</xdr:rowOff>
    </xdr:from>
    <xdr:to>
      <xdr:col>16</xdr:col>
      <xdr:colOff>63500</xdr:colOff>
      <xdr:row>81</xdr:row>
      <xdr:rowOff>0</xdr:rowOff>
    </xdr:to>
    <xdr:sp macro="" textlink="">
      <xdr:nvSpPr>
        <xdr:cNvPr id="393" name="nuNumber: 407" hidden="1">
          <a:extLst>
            <a:ext uri="{FF2B5EF4-FFF2-40B4-BE49-F238E27FC236}">
              <a16:creationId xmlns:a16="http://schemas.microsoft.com/office/drawing/2014/main" id="{F200CDB5-BEBA-44C4-9C8E-78CCBA7F9507}"/>
            </a:ext>
          </a:extLst>
        </xdr:cNvPr>
        <xdr:cNvSpPr/>
      </xdr:nvSpPr>
      <xdr:spPr bwMode="auto">
        <a:xfrm>
          <a:off x="12106275" y="170357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80</xdr:row>
      <xdr:rowOff>119380</xdr:rowOff>
    </xdr:from>
    <xdr:to>
      <xdr:col>17</xdr:col>
      <xdr:colOff>63500</xdr:colOff>
      <xdr:row>81</xdr:row>
      <xdr:rowOff>0</xdr:rowOff>
    </xdr:to>
    <xdr:sp macro="" textlink="">
      <xdr:nvSpPr>
        <xdr:cNvPr id="394" name="nuNumber: 408" hidden="1">
          <a:extLst>
            <a:ext uri="{FF2B5EF4-FFF2-40B4-BE49-F238E27FC236}">
              <a16:creationId xmlns:a16="http://schemas.microsoft.com/office/drawing/2014/main" id="{B793DD7D-A9F7-4C0F-8D2C-C53FF967B80A}"/>
            </a:ext>
          </a:extLst>
        </xdr:cNvPr>
        <xdr:cNvSpPr/>
      </xdr:nvSpPr>
      <xdr:spPr bwMode="auto">
        <a:xfrm>
          <a:off x="12887325" y="170357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80</xdr:row>
      <xdr:rowOff>119380</xdr:rowOff>
    </xdr:from>
    <xdr:to>
      <xdr:col>18</xdr:col>
      <xdr:colOff>63499</xdr:colOff>
      <xdr:row>81</xdr:row>
      <xdr:rowOff>0</xdr:rowOff>
    </xdr:to>
    <xdr:sp macro="" textlink="">
      <xdr:nvSpPr>
        <xdr:cNvPr id="395" name="nuNumber: 409" hidden="1">
          <a:extLst>
            <a:ext uri="{FF2B5EF4-FFF2-40B4-BE49-F238E27FC236}">
              <a16:creationId xmlns:a16="http://schemas.microsoft.com/office/drawing/2014/main" id="{DB30B8EB-E5D9-4E84-A4E3-B2A26DD3612C}"/>
            </a:ext>
          </a:extLst>
        </xdr:cNvPr>
        <xdr:cNvSpPr/>
      </xdr:nvSpPr>
      <xdr:spPr bwMode="auto">
        <a:xfrm>
          <a:off x="13624559" y="1703578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80</xdr:row>
      <xdr:rowOff>119380</xdr:rowOff>
    </xdr:from>
    <xdr:to>
      <xdr:col>19</xdr:col>
      <xdr:colOff>63500</xdr:colOff>
      <xdr:row>81</xdr:row>
      <xdr:rowOff>0</xdr:rowOff>
    </xdr:to>
    <xdr:sp macro="" textlink="">
      <xdr:nvSpPr>
        <xdr:cNvPr id="396" name="nuNumber: 410" hidden="1">
          <a:extLst>
            <a:ext uri="{FF2B5EF4-FFF2-40B4-BE49-F238E27FC236}">
              <a16:creationId xmlns:a16="http://schemas.microsoft.com/office/drawing/2014/main" id="{79CB6C06-1EA2-481F-AFB3-441522741189}"/>
            </a:ext>
          </a:extLst>
        </xdr:cNvPr>
        <xdr:cNvSpPr/>
      </xdr:nvSpPr>
      <xdr:spPr bwMode="auto">
        <a:xfrm>
          <a:off x="14382750" y="170357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80</xdr:row>
      <xdr:rowOff>119380</xdr:rowOff>
    </xdr:from>
    <xdr:to>
      <xdr:col>20</xdr:col>
      <xdr:colOff>63500</xdr:colOff>
      <xdr:row>81</xdr:row>
      <xdr:rowOff>0</xdr:rowOff>
    </xdr:to>
    <xdr:sp macro="" textlink="">
      <xdr:nvSpPr>
        <xdr:cNvPr id="397" name="nuNumber: 411" hidden="1">
          <a:extLst>
            <a:ext uri="{FF2B5EF4-FFF2-40B4-BE49-F238E27FC236}">
              <a16:creationId xmlns:a16="http://schemas.microsoft.com/office/drawing/2014/main" id="{F91B3E48-9299-4887-9F8A-3D71DA86F8BC}"/>
            </a:ext>
          </a:extLst>
        </xdr:cNvPr>
        <xdr:cNvSpPr/>
      </xdr:nvSpPr>
      <xdr:spPr bwMode="auto">
        <a:xfrm>
          <a:off x="15135225" y="170357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80</xdr:row>
      <xdr:rowOff>119380</xdr:rowOff>
    </xdr:from>
    <xdr:to>
      <xdr:col>21</xdr:col>
      <xdr:colOff>63500</xdr:colOff>
      <xdr:row>81</xdr:row>
      <xdr:rowOff>0</xdr:rowOff>
    </xdr:to>
    <xdr:sp macro="" textlink="">
      <xdr:nvSpPr>
        <xdr:cNvPr id="398" name="nuNumber: 412" hidden="1">
          <a:extLst>
            <a:ext uri="{FF2B5EF4-FFF2-40B4-BE49-F238E27FC236}">
              <a16:creationId xmlns:a16="http://schemas.microsoft.com/office/drawing/2014/main" id="{BA1CFA5D-BB00-40C3-8F63-B34AAFEB74C5}"/>
            </a:ext>
          </a:extLst>
        </xdr:cNvPr>
        <xdr:cNvSpPr/>
      </xdr:nvSpPr>
      <xdr:spPr bwMode="auto">
        <a:xfrm>
          <a:off x="15849600" y="170357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81</xdr:row>
      <xdr:rowOff>119380</xdr:rowOff>
    </xdr:from>
    <xdr:to>
      <xdr:col>10</xdr:col>
      <xdr:colOff>63500</xdr:colOff>
      <xdr:row>82</xdr:row>
      <xdr:rowOff>0</xdr:rowOff>
    </xdr:to>
    <xdr:sp macro="" textlink="">
      <xdr:nvSpPr>
        <xdr:cNvPr id="399" name="nuNumber: 413" hidden="1">
          <a:extLst>
            <a:ext uri="{FF2B5EF4-FFF2-40B4-BE49-F238E27FC236}">
              <a16:creationId xmlns:a16="http://schemas.microsoft.com/office/drawing/2014/main" id="{CF6F483A-825D-4B67-87C8-36895FBD2CD6}"/>
            </a:ext>
          </a:extLst>
        </xdr:cNvPr>
        <xdr:cNvSpPr/>
      </xdr:nvSpPr>
      <xdr:spPr bwMode="auto">
        <a:xfrm>
          <a:off x="7315200" y="17245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81</xdr:row>
      <xdr:rowOff>119380</xdr:rowOff>
    </xdr:from>
    <xdr:to>
      <xdr:col>11</xdr:col>
      <xdr:colOff>63500</xdr:colOff>
      <xdr:row>82</xdr:row>
      <xdr:rowOff>0</xdr:rowOff>
    </xdr:to>
    <xdr:sp macro="" textlink="">
      <xdr:nvSpPr>
        <xdr:cNvPr id="400" name="nuNumber: 414" hidden="1">
          <a:extLst>
            <a:ext uri="{FF2B5EF4-FFF2-40B4-BE49-F238E27FC236}">
              <a16:creationId xmlns:a16="http://schemas.microsoft.com/office/drawing/2014/main" id="{60F6030D-F05A-43AC-AF44-7F72341E4DE6}"/>
            </a:ext>
          </a:extLst>
        </xdr:cNvPr>
        <xdr:cNvSpPr/>
      </xdr:nvSpPr>
      <xdr:spPr bwMode="auto">
        <a:xfrm>
          <a:off x="8105775" y="17245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81</xdr:row>
      <xdr:rowOff>119380</xdr:rowOff>
    </xdr:from>
    <xdr:to>
      <xdr:col>12</xdr:col>
      <xdr:colOff>63500</xdr:colOff>
      <xdr:row>82</xdr:row>
      <xdr:rowOff>0</xdr:rowOff>
    </xdr:to>
    <xdr:sp macro="" textlink="">
      <xdr:nvSpPr>
        <xdr:cNvPr id="401" name="nuNumber: 415" hidden="1">
          <a:extLst>
            <a:ext uri="{FF2B5EF4-FFF2-40B4-BE49-F238E27FC236}">
              <a16:creationId xmlns:a16="http://schemas.microsoft.com/office/drawing/2014/main" id="{BABDC5E0-09A2-4D63-A4BD-F41D198B9EF1}"/>
            </a:ext>
          </a:extLst>
        </xdr:cNvPr>
        <xdr:cNvSpPr/>
      </xdr:nvSpPr>
      <xdr:spPr bwMode="auto">
        <a:xfrm>
          <a:off x="8972550" y="17245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81</xdr:row>
      <xdr:rowOff>119380</xdr:rowOff>
    </xdr:from>
    <xdr:to>
      <xdr:col>13</xdr:col>
      <xdr:colOff>63500</xdr:colOff>
      <xdr:row>82</xdr:row>
      <xdr:rowOff>0</xdr:rowOff>
    </xdr:to>
    <xdr:sp macro="" textlink="">
      <xdr:nvSpPr>
        <xdr:cNvPr id="402" name="nuNumber: 416" hidden="1">
          <a:extLst>
            <a:ext uri="{FF2B5EF4-FFF2-40B4-BE49-F238E27FC236}">
              <a16:creationId xmlns:a16="http://schemas.microsoft.com/office/drawing/2014/main" id="{4E7EA2D8-1D84-438A-8DBC-D6A22CFB217F}"/>
            </a:ext>
          </a:extLst>
        </xdr:cNvPr>
        <xdr:cNvSpPr/>
      </xdr:nvSpPr>
      <xdr:spPr bwMode="auto">
        <a:xfrm>
          <a:off x="9753600" y="17245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81</xdr:row>
      <xdr:rowOff>119380</xdr:rowOff>
    </xdr:from>
    <xdr:to>
      <xdr:col>14</xdr:col>
      <xdr:colOff>63500</xdr:colOff>
      <xdr:row>82</xdr:row>
      <xdr:rowOff>0</xdr:rowOff>
    </xdr:to>
    <xdr:sp macro="" textlink="">
      <xdr:nvSpPr>
        <xdr:cNvPr id="403" name="nuNumber: 417" hidden="1">
          <a:extLst>
            <a:ext uri="{FF2B5EF4-FFF2-40B4-BE49-F238E27FC236}">
              <a16:creationId xmlns:a16="http://schemas.microsoft.com/office/drawing/2014/main" id="{5DE3AA7E-9175-49CA-A10D-C94A1A87FE53}"/>
            </a:ext>
          </a:extLst>
        </xdr:cNvPr>
        <xdr:cNvSpPr/>
      </xdr:nvSpPr>
      <xdr:spPr bwMode="auto">
        <a:xfrm>
          <a:off x="10515600" y="17245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81</xdr:row>
      <xdr:rowOff>119380</xdr:rowOff>
    </xdr:from>
    <xdr:to>
      <xdr:col>15</xdr:col>
      <xdr:colOff>63500</xdr:colOff>
      <xdr:row>82</xdr:row>
      <xdr:rowOff>0</xdr:rowOff>
    </xdr:to>
    <xdr:sp macro="" textlink="">
      <xdr:nvSpPr>
        <xdr:cNvPr id="404" name="nuNumber: 418" hidden="1">
          <a:extLst>
            <a:ext uri="{FF2B5EF4-FFF2-40B4-BE49-F238E27FC236}">
              <a16:creationId xmlns:a16="http://schemas.microsoft.com/office/drawing/2014/main" id="{F5A6079E-7FB1-4457-B049-576717ED01A9}"/>
            </a:ext>
          </a:extLst>
        </xdr:cNvPr>
        <xdr:cNvSpPr/>
      </xdr:nvSpPr>
      <xdr:spPr bwMode="auto">
        <a:xfrm>
          <a:off x="11325225" y="17245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81</xdr:row>
      <xdr:rowOff>119380</xdr:rowOff>
    </xdr:from>
    <xdr:to>
      <xdr:col>16</xdr:col>
      <xdr:colOff>63500</xdr:colOff>
      <xdr:row>82</xdr:row>
      <xdr:rowOff>0</xdr:rowOff>
    </xdr:to>
    <xdr:sp macro="" textlink="">
      <xdr:nvSpPr>
        <xdr:cNvPr id="405" name="nuNumber: 419" hidden="1">
          <a:extLst>
            <a:ext uri="{FF2B5EF4-FFF2-40B4-BE49-F238E27FC236}">
              <a16:creationId xmlns:a16="http://schemas.microsoft.com/office/drawing/2014/main" id="{5559A6E3-3206-4B04-9C7F-2A48B805F612}"/>
            </a:ext>
          </a:extLst>
        </xdr:cNvPr>
        <xdr:cNvSpPr/>
      </xdr:nvSpPr>
      <xdr:spPr bwMode="auto">
        <a:xfrm>
          <a:off x="12106275" y="17245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81</xdr:row>
      <xdr:rowOff>119380</xdr:rowOff>
    </xdr:from>
    <xdr:to>
      <xdr:col>17</xdr:col>
      <xdr:colOff>63500</xdr:colOff>
      <xdr:row>82</xdr:row>
      <xdr:rowOff>0</xdr:rowOff>
    </xdr:to>
    <xdr:sp macro="" textlink="">
      <xdr:nvSpPr>
        <xdr:cNvPr id="406" name="nuNumber: 420" hidden="1">
          <a:extLst>
            <a:ext uri="{FF2B5EF4-FFF2-40B4-BE49-F238E27FC236}">
              <a16:creationId xmlns:a16="http://schemas.microsoft.com/office/drawing/2014/main" id="{EE335AD6-244D-4F42-BC2A-E7D41274168A}"/>
            </a:ext>
          </a:extLst>
        </xdr:cNvPr>
        <xdr:cNvSpPr/>
      </xdr:nvSpPr>
      <xdr:spPr bwMode="auto">
        <a:xfrm>
          <a:off x="12887325" y="17245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81</xdr:row>
      <xdr:rowOff>119380</xdr:rowOff>
    </xdr:from>
    <xdr:to>
      <xdr:col>18</xdr:col>
      <xdr:colOff>63499</xdr:colOff>
      <xdr:row>82</xdr:row>
      <xdr:rowOff>0</xdr:rowOff>
    </xdr:to>
    <xdr:sp macro="" textlink="">
      <xdr:nvSpPr>
        <xdr:cNvPr id="407" name="nuNumber: 421" hidden="1">
          <a:extLst>
            <a:ext uri="{FF2B5EF4-FFF2-40B4-BE49-F238E27FC236}">
              <a16:creationId xmlns:a16="http://schemas.microsoft.com/office/drawing/2014/main" id="{ACC7A7FD-2F17-47BB-BEB3-15551E551D3F}"/>
            </a:ext>
          </a:extLst>
        </xdr:cNvPr>
        <xdr:cNvSpPr/>
      </xdr:nvSpPr>
      <xdr:spPr bwMode="auto">
        <a:xfrm>
          <a:off x="13624559" y="1724533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81</xdr:row>
      <xdr:rowOff>119380</xdr:rowOff>
    </xdr:from>
    <xdr:to>
      <xdr:col>19</xdr:col>
      <xdr:colOff>63500</xdr:colOff>
      <xdr:row>82</xdr:row>
      <xdr:rowOff>0</xdr:rowOff>
    </xdr:to>
    <xdr:sp macro="" textlink="">
      <xdr:nvSpPr>
        <xdr:cNvPr id="408" name="nuNumber: 422" hidden="1">
          <a:extLst>
            <a:ext uri="{FF2B5EF4-FFF2-40B4-BE49-F238E27FC236}">
              <a16:creationId xmlns:a16="http://schemas.microsoft.com/office/drawing/2014/main" id="{054C62C2-77CC-47B3-9985-22D73C206D89}"/>
            </a:ext>
          </a:extLst>
        </xdr:cNvPr>
        <xdr:cNvSpPr/>
      </xdr:nvSpPr>
      <xdr:spPr bwMode="auto">
        <a:xfrm>
          <a:off x="14382750" y="17245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81</xdr:row>
      <xdr:rowOff>119380</xdr:rowOff>
    </xdr:from>
    <xdr:to>
      <xdr:col>20</xdr:col>
      <xdr:colOff>63500</xdr:colOff>
      <xdr:row>82</xdr:row>
      <xdr:rowOff>0</xdr:rowOff>
    </xdr:to>
    <xdr:sp macro="" textlink="">
      <xdr:nvSpPr>
        <xdr:cNvPr id="409" name="nuNumber: 423" hidden="1">
          <a:extLst>
            <a:ext uri="{FF2B5EF4-FFF2-40B4-BE49-F238E27FC236}">
              <a16:creationId xmlns:a16="http://schemas.microsoft.com/office/drawing/2014/main" id="{8310FFDE-C641-42FE-8C98-1FB4BC299307}"/>
            </a:ext>
          </a:extLst>
        </xdr:cNvPr>
        <xdr:cNvSpPr/>
      </xdr:nvSpPr>
      <xdr:spPr bwMode="auto">
        <a:xfrm>
          <a:off x="15135225" y="17245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81</xdr:row>
      <xdr:rowOff>119380</xdr:rowOff>
    </xdr:from>
    <xdr:to>
      <xdr:col>21</xdr:col>
      <xdr:colOff>63500</xdr:colOff>
      <xdr:row>82</xdr:row>
      <xdr:rowOff>0</xdr:rowOff>
    </xdr:to>
    <xdr:sp macro="" textlink="">
      <xdr:nvSpPr>
        <xdr:cNvPr id="410" name="nuNumber: 424" hidden="1">
          <a:extLst>
            <a:ext uri="{FF2B5EF4-FFF2-40B4-BE49-F238E27FC236}">
              <a16:creationId xmlns:a16="http://schemas.microsoft.com/office/drawing/2014/main" id="{A296CB2B-928E-448E-8F2E-6D630DC7706B}"/>
            </a:ext>
          </a:extLst>
        </xdr:cNvPr>
        <xdr:cNvSpPr/>
      </xdr:nvSpPr>
      <xdr:spPr bwMode="auto">
        <a:xfrm>
          <a:off x="15849600" y="17245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82</xdr:row>
      <xdr:rowOff>119381</xdr:rowOff>
    </xdr:from>
    <xdr:to>
      <xdr:col>8</xdr:col>
      <xdr:colOff>63500</xdr:colOff>
      <xdr:row>83</xdr:row>
      <xdr:rowOff>1</xdr:rowOff>
    </xdr:to>
    <xdr:sp macro="" textlink="">
      <xdr:nvSpPr>
        <xdr:cNvPr id="411" name="nuNumber: 425" hidden="1">
          <a:extLst>
            <a:ext uri="{FF2B5EF4-FFF2-40B4-BE49-F238E27FC236}">
              <a16:creationId xmlns:a16="http://schemas.microsoft.com/office/drawing/2014/main" id="{67782585-E926-4DA3-9115-118D1B4A713A}"/>
            </a:ext>
          </a:extLst>
        </xdr:cNvPr>
        <xdr:cNvSpPr/>
      </xdr:nvSpPr>
      <xdr:spPr bwMode="auto">
        <a:xfrm>
          <a:off x="5562600" y="174548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82</xdr:row>
      <xdr:rowOff>119381</xdr:rowOff>
    </xdr:from>
    <xdr:to>
      <xdr:col>9</xdr:col>
      <xdr:colOff>63500</xdr:colOff>
      <xdr:row>83</xdr:row>
      <xdr:rowOff>1</xdr:rowOff>
    </xdr:to>
    <xdr:sp macro="" textlink="">
      <xdr:nvSpPr>
        <xdr:cNvPr id="412" name="nuNumber: 426" hidden="1">
          <a:extLst>
            <a:ext uri="{FF2B5EF4-FFF2-40B4-BE49-F238E27FC236}">
              <a16:creationId xmlns:a16="http://schemas.microsoft.com/office/drawing/2014/main" id="{2E4861E9-04BE-44F8-B3FE-D49990528B23}"/>
            </a:ext>
          </a:extLst>
        </xdr:cNvPr>
        <xdr:cNvSpPr/>
      </xdr:nvSpPr>
      <xdr:spPr bwMode="auto">
        <a:xfrm>
          <a:off x="6467475" y="174548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82</xdr:row>
      <xdr:rowOff>119381</xdr:rowOff>
    </xdr:from>
    <xdr:to>
      <xdr:col>9</xdr:col>
      <xdr:colOff>63500</xdr:colOff>
      <xdr:row>83</xdr:row>
      <xdr:rowOff>1</xdr:rowOff>
    </xdr:to>
    <xdr:sp macro="" textlink="">
      <xdr:nvSpPr>
        <xdr:cNvPr id="413" name="nuNumber: 427" hidden="1">
          <a:extLst>
            <a:ext uri="{FF2B5EF4-FFF2-40B4-BE49-F238E27FC236}">
              <a16:creationId xmlns:a16="http://schemas.microsoft.com/office/drawing/2014/main" id="{6A91268F-7962-43D2-BA9F-9DF3AB77C71B}"/>
            </a:ext>
          </a:extLst>
        </xdr:cNvPr>
        <xdr:cNvSpPr/>
      </xdr:nvSpPr>
      <xdr:spPr bwMode="auto">
        <a:xfrm>
          <a:off x="6467475" y="174548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82</xdr:row>
      <xdr:rowOff>119381</xdr:rowOff>
    </xdr:from>
    <xdr:to>
      <xdr:col>10</xdr:col>
      <xdr:colOff>63500</xdr:colOff>
      <xdr:row>83</xdr:row>
      <xdr:rowOff>1</xdr:rowOff>
    </xdr:to>
    <xdr:sp macro="" textlink="">
      <xdr:nvSpPr>
        <xdr:cNvPr id="414" name="nuNumber: 428" hidden="1">
          <a:extLst>
            <a:ext uri="{FF2B5EF4-FFF2-40B4-BE49-F238E27FC236}">
              <a16:creationId xmlns:a16="http://schemas.microsoft.com/office/drawing/2014/main" id="{D56B7D10-DAC1-4E62-813C-F699E833360A}"/>
            </a:ext>
          </a:extLst>
        </xdr:cNvPr>
        <xdr:cNvSpPr/>
      </xdr:nvSpPr>
      <xdr:spPr bwMode="auto">
        <a:xfrm>
          <a:off x="7315200" y="174548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82</xdr:row>
      <xdr:rowOff>119381</xdr:rowOff>
    </xdr:from>
    <xdr:to>
      <xdr:col>11</xdr:col>
      <xdr:colOff>63500</xdr:colOff>
      <xdr:row>83</xdr:row>
      <xdr:rowOff>1</xdr:rowOff>
    </xdr:to>
    <xdr:sp macro="" textlink="">
      <xdr:nvSpPr>
        <xdr:cNvPr id="415" name="nuNumber: 429" hidden="1">
          <a:extLst>
            <a:ext uri="{FF2B5EF4-FFF2-40B4-BE49-F238E27FC236}">
              <a16:creationId xmlns:a16="http://schemas.microsoft.com/office/drawing/2014/main" id="{7AAD473E-FBA1-479D-8AA2-B462C100C1EA}"/>
            </a:ext>
          </a:extLst>
        </xdr:cNvPr>
        <xdr:cNvSpPr/>
      </xdr:nvSpPr>
      <xdr:spPr bwMode="auto">
        <a:xfrm>
          <a:off x="8105775" y="174548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82</xdr:row>
      <xdr:rowOff>119381</xdr:rowOff>
    </xdr:from>
    <xdr:to>
      <xdr:col>12</xdr:col>
      <xdr:colOff>63500</xdr:colOff>
      <xdr:row>83</xdr:row>
      <xdr:rowOff>1</xdr:rowOff>
    </xdr:to>
    <xdr:sp macro="" textlink="">
      <xdr:nvSpPr>
        <xdr:cNvPr id="416" name="nuNumber: 430" hidden="1">
          <a:extLst>
            <a:ext uri="{FF2B5EF4-FFF2-40B4-BE49-F238E27FC236}">
              <a16:creationId xmlns:a16="http://schemas.microsoft.com/office/drawing/2014/main" id="{3A56A131-5EAF-4D19-B0B6-5870743451BE}"/>
            </a:ext>
          </a:extLst>
        </xdr:cNvPr>
        <xdr:cNvSpPr/>
      </xdr:nvSpPr>
      <xdr:spPr bwMode="auto">
        <a:xfrm>
          <a:off x="8972550" y="174548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82</xdr:row>
      <xdr:rowOff>119381</xdr:rowOff>
    </xdr:from>
    <xdr:to>
      <xdr:col>13</xdr:col>
      <xdr:colOff>63500</xdr:colOff>
      <xdr:row>83</xdr:row>
      <xdr:rowOff>1</xdr:rowOff>
    </xdr:to>
    <xdr:sp macro="" textlink="">
      <xdr:nvSpPr>
        <xdr:cNvPr id="417" name="nuNumber: 431" hidden="1">
          <a:extLst>
            <a:ext uri="{FF2B5EF4-FFF2-40B4-BE49-F238E27FC236}">
              <a16:creationId xmlns:a16="http://schemas.microsoft.com/office/drawing/2014/main" id="{FD699227-60BB-44D5-B60D-6067AF3ACBAA}"/>
            </a:ext>
          </a:extLst>
        </xdr:cNvPr>
        <xdr:cNvSpPr/>
      </xdr:nvSpPr>
      <xdr:spPr bwMode="auto">
        <a:xfrm>
          <a:off x="9753600" y="174548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82</xdr:row>
      <xdr:rowOff>119381</xdr:rowOff>
    </xdr:from>
    <xdr:to>
      <xdr:col>14</xdr:col>
      <xdr:colOff>63500</xdr:colOff>
      <xdr:row>83</xdr:row>
      <xdr:rowOff>1</xdr:rowOff>
    </xdr:to>
    <xdr:sp macro="" textlink="">
      <xdr:nvSpPr>
        <xdr:cNvPr id="418" name="nuNumber: 432" hidden="1">
          <a:extLst>
            <a:ext uri="{FF2B5EF4-FFF2-40B4-BE49-F238E27FC236}">
              <a16:creationId xmlns:a16="http://schemas.microsoft.com/office/drawing/2014/main" id="{35D7C6A2-0B6E-41CC-8186-90A38D3E4FDB}"/>
            </a:ext>
          </a:extLst>
        </xdr:cNvPr>
        <xdr:cNvSpPr/>
      </xdr:nvSpPr>
      <xdr:spPr bwMode="auto">
        <a:xfrm>
          <a:off x="10515600" y="174548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82</xdr:row>
      <xdr:rowOff>119381</xdr:rowOff>
    </xdr:from>
    <xdr:to>
      <xdr:col>15</xdr:col>
      <xdr:colOff>63500</xdr:colOff>
      <xdr:row>83</xdr:row>
      <xdr:rowOff>1</xdr:rowOff>
    </xdr:to>
    <xdr:sp macro="" textlink="">
      <xdr:nvSpPr>
        <xdr:cNvPr id="419" name="nuNumber: 433" hidden="1">
          <a:extLst>
            <a:ext uri="{FF2B5EF4-FFF2-40B4-BE49-F238E27FC236}">
              <a16:creationId xmlns:a16="http://schemas.microsoft.com/office/drawing/2014/main" id="{F932386D-E0CD-4DE5-BA97-F8655C0D9628}"/>
            </a:ext>
          </a:extLst>
        </xdr:cNvPr>
        <xdr:cNvSpPr/>
      </xdr:nvSpPr>
      <xdr:spPr bwMode="auto">
        <a:xfrm>
          <a:off x="11325225" y="174548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82</xdr:row>
      <xdr:rowOff>119381</xdr:rowOff>
    </xdr:from>
    <xdr:to>
      <xdr:col>16</xdr:col>
      <xdr:colOff>63500</xdr:colOff>
      <xdr:row>83</xdr:row>
      <xdr:rowOff>1</xdr:rowOff>
    </xdr:to>
    <xdr:sp macro="" textlink="">
      <xdr:nvSpPr>
        <xdr:cNvPr id="420" name="nuNumber: 434" hidden="1">
          <a:extLst>
            <a:ext uri="{FF2B5EF4-FFF2-40B4-BE49-F238E27FC236}">
              <a16:creationId xmlns:a16="http://schemas.microsoft.com/office/drawing/2014/main" id="{A553BAE3-629D-43BB-A046-F2DED19E4CEF}"/>
            </a:ext>
          </a:extLst>
        </xdr:cNvPr>
        <xdr:cNvSpPr/>
      </xdr:nvSpPr>
      <xdr:spPr bwMode="auto">
        <a:xfrm>
          <a:off x="12106275" y="174548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82</xdr:row>
      <xdr:rowOff>119381</xdr:rowOff>
    </xdr:from>
    <xdr:to>
      <xdr:col>17</xdr:col>
      <xdr:colOff>63500</xdr:colOff>
      <xdr:row>83</xdr:row>
      <xdr:rowOff>1</xdr:rowOff>
    </xdr:to>
    <xdr:sp macro="" textlink="">
      <xdr:nvSpPr>
        <xdr:cNvPr id="421" name="nuNumber: 435" hidden="1">
          <a:extLst>
            <a:ext uri="{FF2B5EF4-FFF2-40B4-BE49-F238E27FC236}">
              <a16:creationId xmlns:a16="http://schemas.microsoft.com/office/drawing/2014/main" id="{23DA9C8F-5D5D-4759-87ED-76B763D1B3FA}"/>
            </a:ext>
          </a:extLst>
        </xdr:cNvPr>
        <xdr:cNvSpPr/>
      </xdr:nvSpPr>
      <xdr:spPr bwMode="auto">
        <a:xfrm>
          <a:off x="12887325" y="174548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82</xdr:row>
      <xdr:rowOff>119381</xdr:rowOff>
    </xdr:from>
    <xdr:to>
      <xdr:col>18</xdr:col>
      <xdr:colOff>63499</xdr:colOff>
      <xdr:row>83</xdr:row>
      <xdr:rowOff>1</xdr:rowOff>
    </xdr:to>
    <xdr:sp macro="" textlink="">
      <xdr:nvSpPr>
        <xdr:cNvPr id="422" name="nuNumber: 436" hidden="1">
          <a:extLst>
            <a:ext uri="{FF2B5EF4-FFF2-40B4-BE49-F238E27FC236}">
              <a16:creationId xmlns:a16="http://schemas.microsoft.com/office/drawing/2014/main" id="{6D1498D5-B8C2-46F2-A962-69F3D129EF0F}"/>
            </a:ext>
          </a:extLst>
        </xdr:cNvPr>
        <xdr:cNvSpPr/>
      </xdr:nvSpPr>
      <xdr:spPr bwMode="auto">
        <a:xfrm>
          <a:off x="13624559" y="17454881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82</xdr:row>
      <xdr:rowOff>119381</xdr:rowOff>
    </xdr:from>
    <xdr:to>
      <xdr:col>19</xdr:col>
      <xdr:colOff>63500</xdr:colOff>
      <xdr:row>83</xdr:row>
      <xdr:rowOff>1</xdr:rowOff>
    </xdr:to>
    <xdr:sp macro="" textlink="">
      <xdr:nvSpPr>
        <xdr:cNvPr id="423" name="nuNumber: 437" hidden="1">
          <a:extLst>
            <a:ext uri="{FF2B5EF4-FFF2-40B4-BE49-F238E27FC236}">
              <a16:creationId xmlns:a16="http://schemas.microsoft.com/office/drawing/2014/main" id="{5BEA881B-7871-4402-817F-B388005923D2}"/>
            </a:ext>
          </a:extLst>
        </xdr:cNvPr>
        <xdr:cNvSpPr/>
      </xdr:nvSpPr>
      <xdr:spPr bwMode="auto">
        <a:xfrm>
          <a:off x="14382750" y="174548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82</xdr:row>
      <xdr:rowOff>119381</xdr:rowOff>
    </xdr:from>
    <xdr:to>
      <xdr:col>20</xdr:col>
      <xdr:colOff>63500</xdr:colOff>
      <xdr:row>83</xdr:row>
      <xdr:rowOff>1</xdr:rowOff>
    </xdr:to>
    <xdr:sp macro="" textlink="">
      <xdr:nvSpPr>
        <xdr:cNvPr id="424" name="nuNumber: 438" hidden="1">
          <a:extLst>
            <a:ext uri="{FF2B5EF4-FFF2-40B4-BE49-F238E27FC236}">
              <a16:creationId xmlns:a16="http://schemas.microsoft.com/office/drawing/2014/main" id="{2BD490BB-E2DC-41AF-B231-31ED6FFCF9BE}"/>
            </a:ext>
          </a:extLst>
        </xdr:cNvPr>
        <xdr:cNvSpPr/>
      </xdr:nvSpPr>
      <xdr:spPr bwMode="auto">
        <a:xfrm>
          <a:off x="15135225" y="174548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82</xdr:row>
      <xdr:rowOff>119381</xdr:rowOff>
    </xdr:from>
    <xdr:to>
      <xdr:col>21</xdr:col>
      <xdr:colOff>63500</xdr:colOff>
      <xdr:row>83</xdr:row>
      <xdr:rowOff>1</xdr:rowOff>
    </xdr:to>
    <xdr:sp macro="" textlink="">
      <xdr:nvSpPr>
        <xdr:cNvPr id="425" name="nuNumber: 439" hidden="1">
          <a:extLst>
            <a:ext uri="{FF2B5EF4-FFF2-40B4-BE49-F238E27FC236}">
              <a16:creationId xmlns:a16="http://schemas.microsoft.com/office/drawing/2014/main" id="{14834B20-EAA8-4B8B-B127-0F91E2979D40}"/>
            </a:ext>
          </a:extLst>
        </xdr:cNvPr>
        <xdr:cNvSpPr/>
      </xdr:nvSpPr>
      <xdr:spPr bwMode="auto">
        <a:xfrm>
          <a:off x="15849600" y="174548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85</xdr:row>
      <xdr:rowOff>119380</xdr:rowOff>
    </xdr:from>
    <xdr:to>
      <xdr:col>8</xdr:col>
      <xdr:colOff>63500</xdr:colOff>
      <xdr:row>86</xdr:row>
      <xdr:rowOff>0</xdr:rowOff>
    </xdr:to>
    <xdr:sp macro="" textlink="">
      <xdr:nvSpPr>
        <xdr:cNvPr id="426" name="nuNumber: 440" hidden="1">
          <a:extLst>
            <a:ext uri="{FF2B5EF4-FFF2-40B4-BE49-F238E27FC236}">
              <a16:creationId xmlns:a16="http://schemas.microsoft.com/office/drawing/2014/main" id="{B95981CB-1315-4A9F-A816-3383EC3EED41}"/>
            </a:ext>
          </a:extLst>
        </xdr:cNvPr>
        <xdr:cNvSpPr/>
      </xdr:nvSpPr>
      <xdr:spPr bwMode="auto">
        <a:xfrm>
          <a:off x="5562600" y="18083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85</xdr:row>
      <xdr:rowOff>119380</xdr:rowOff>
    </xdr:from>
    <xdr:to>
      <xdr:col>9</xdr:col>
      <xdr:colOff>63500</xdr:colOff>
      <xdr:row>86</xdr:row>
      <xdr:rowOff>0</xdr:rowOff>
    </xdr:to>
    <xdr:sp macro="" textlink="">
      <xdr:nvSpPr>
        <xdr:cNvPr id="427" name="nuNumber: 441" hidden="1">
          <a:extLst>
            <a:ext uri="{FF2B5EF4-FFF2-40B4-BE49-F238E27FC236}">
              <a16:creationId xmlns:a16="http://schemas.microsoft.com/office/drawing/2014/main" id="{B4BF738C-20F4-47C1-BF80-BAA2100F7A03}"/>
            </a:ext>
          </a:extLst>
        </xdr:cNvPr>
        <xdr:cNvSpPr/>
      </xdr:nvSpPr>
      <xdr:spPr bwMode="auto">
        <a:xfrm>
          <a:off x="6467475" y="18083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85</xdr:row>
      <xdr:rowOff>119380</xdr:rowOff>
    </xdr:from>
    <xdr:to>
      <xdr:col>10</xdr:col>
      <xdr:colOff>63500</xdr:colOff>
      <xdr:row>86</xdr:row>
      <xdr:rowOff>0</xdr:rowOff>
    </xdr:to>
    <xdr:sp macro="" textlink="">
      <xdr:nvSpPr>
        <xdr:cNvPr id="428" name="nuNumber: 442" hidden="1">
          <a:extLst>
            <a:ext uri="{FF2B5EF4-FFF2-40B4-BE49-F238E27FC236}">
              <a16:creationId xmlns:a16="http://schemas.microsoft.com/office/drawing/2014/main" id="{7F6DEB34-8474-4DAA-83AD-3B827BB66E9F}"/>
            </a:ext>
          </a:extLst>
        </xdr:cNvPr>
        <xdr:cNvSpPr/>
      </xdr:nvSpPr>
      <xdr:spPr bwMode="auto">
        <a:xfrm>
          <a:off x="7315200" y="18083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85</xdr:row>
      <xdr:rowOff>119380</xdr:rowOff>
    </xdr:from>
    <xdr:to>
      <xdr:col>11</xdr:col>
      <xdr:colOff>63500</xdr:colOff>
      <xdr:row>86</xdr:row>
      <xdr:rowOff>0</xdr:rowOff>
    </xdr:to>
    <xdr:sp macro="" textlink="">
      <xdr:nvSpPr>
        <xdr:cNvPr id="429" name="nuNumber: 443" hidden="1">
          <a:extLst>
            <a:ext uri="{FF2B5EF4-FFF2-40B4-BE49-F238E27FC236}">
              <a16:creationId xmlns:a16="http://schemas.microsoft.com/office/drawing/2014/main" id="{8FB77692-E08B-4F71-B2EA-973858773BE3}"/>
            </a:ext>
          </a:extLst>
        </xdr:cNvPr>
        <xdr:cNvSpPr/>
      </xdr:nvSpPr>
      <xdr:spPr bwMode="auto">
        <a:xfrm>
          <a:off x="8105775" y="18083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85</xdr:row>
      <xdr:rowOff>119380</xdr:rowOff>
    </xdr:from>
    <xdr:to>
      <xdr:col>12</xdr:col>
      <xdr:colOff>63500</xdr:colOff>
      <xdr:row>86</xdr:row>
      <xdr:rowOff>0</xdr:rowOff>
    </xdr:to>
    <xdr:sp macro="" textlink="">
      <xdr:nvSpPr>
        <xdr:cNvPr id="430" name="nuNumber: 444" hidden="1">
          <a:extLst>
            <a:ext uri="{FF2B5EF4-FFF2-40B4-BE49-F238E27FC236}">
              <a16:creationId xmlns:a16="http://schemas.microsoft.com/office/drawing/2014/main" id="{5FF4A35F-F47E-4DF4-93CF-51B0B369CEC6}"/>
            </a:ext>
          </a:extLst>
        </xdr:cNvPr>
        <xdr:cNvSpPr/>
      </xdr:nvSpPr>
      <xdr:spPr bwMode="auto">
        <a:xfrm>
          <a:off x="8972550" y="18083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85</xdr:row>
      <xdr:rowOff>119380</xdr:rowOff>
    </xdr:from>
    <xdr:to>
      <xdr:col>13</xdr:col>
      <xdr:colOff>63500</xdr:colOff>
      <xdr:row>86</xdr:row>
      <xdr:rowOff>0</xdr:rowOff>
    </xdr:to>
    <xdr:sp macro="" textlink="">
      <xdr:nvSpPr>
        <xdr:cNvPr id="431" name="nuNumber: 445" hidden="1">
          <a:extLst>
            <a:ext uri="{FF2B5EF4-FFF2-40B4-BE49-F238E27FC236}">
              <a16:creationId xmlns:a16="http://schemas.microsoft.com/office/drawing/2014/main" id="{C9EAF294-7866-4F3F-88B4-51DCB7367887}"/>
            </a:ext>
          </a:extLst>
        </xdr:cNvPr>
        <xdr:cNvSpPr/>
      </xdr:nvSpPr>
      <xdr:spPr bwMode="auto">
        <a:xfrm>
          <a:off x="9753600" y="18083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85</xdr:row>
      <xdr:rowOff>119380</xdr:rowOff>
    </xdr:from>
    <xdr:to>
      <xdr:col>14</xdr:col>
      <xdr:colOff>63500</xdr:colOff>
      <xdr:row>86</xdr:row>
      <xdr:rowOff>0</xdr:rowOff>
    </xdr:to>
    <xdr:sp macro="" textlink="">
      <xdr:nvSpPr>
        <xdr:cNvPr id="432" name="nuNumber: 446" hidden="1">
          <a:extLst>
            <a:ext uri="{FF2B5EF4-FFF2-40B4-BE49-F238E27FC236}">
              <a16:creationId xmlns:a16="http://schemas.microsoft.com/office/drawing/2014/main" id="{6079F9C1-2ABC-48D3-AA8D-07F590F02E4B}"/>
            </a:ext>
          </a:extLst>
        </xdr:cNvPr>
        <xdr:cNvSpPr/>
      </xdr:nvSpPr>
      <xdr:spPr bwMode="auto">
        <a:xfrm>
          <a:off x="10515600" y="18083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85</xdr:row>
      <xdr:rowOff>119380</xdr:rowOff>
    </xdr:from>
    <xdr:to>
      <xdr:col>15</xdr:col>
      <xdr:colOff>63500</xdr:colOff>
      <xdr:row>86</xdr:row>
      <xdr:rowOff>0</xdr:rowOff>
    </xdr:to>
    <xdr:sp macro="" textlink="">
      <xdr:nvSpPr>
        <xdr:cNvPr id="433" name="nuNumber: 447" hidden="1">
          <a:extLst>
            <a:ext uri="{FF2B5EF4-FFF2-40B4-BE49-F238E27FC236}">
              <a16:creationId xmlns:a16="http://schemas.microsoft.com/office/drawing/2014/main" id="{90E58847-A59A-4BA7-80EB-C23948649947}"/>
            </a:ext>
          </a:extLst>
        </xdr:cNvPr>
        <xdr:cNvSpPr/>
      </xdr:nvSpPr>
      <xdr:spPr bwMode="auto">
        <a:xfrm>
          <a:off x="11325225" y="18083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85</xdr:row>
      <xdr:rowOff>119380</xdr:rowOff>
    </xdr:from>
    <xdr:to>
      <xdr:col>16</xdr:col>
      <xdr:colOff>63500</xdr:colOff>
      <xdr:row>86</xdr:row>
      <xdr:rowOff>0</xdr:rowOff>
    </xdr:to>
    <xdr:sp macro="" textlink="">
      <xdr:nvSpPr>
        <xdr:cNvPr id="434" name="nuNumber: 448" hidden="1">
          <a:extLst>
            <a:ext uri="{FF2B5EF4-FFF2-40B4-BE49-F238E27FC236}">
              <a16:creationId xmlns:a16="http://schemas.microsoft.com/office/drawing/2014/main" id="{3606FB90-51AD-4DA7-8AC6-C4906BBBA24E}"/>
            </a:ext>
          </a:extLst>
        </xdr:cNvPr>
        <xdr:cNvSpPr/>
      </xdr:nvSpPr>
      <xdr:spPr bwMode="auto">
        <a:xfrm>
          <a:off x="12106275" y="18083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85</xdr:row>
      <xdr:rowOff>119380</xdr:rowOff>
    </xdr:from>
    <xdr:to>
      <xdr:col>17</xdr:col>
      <xdr:colOff>63500</xdr:colOff>
      <xdr:row>86</xdr:row>
      <xdr:rowOff>0</xdr:rowOff>
    </xdr:to>
    <xdr:sp macro="" textlink="">
      <xdr:nvSpPr>
        <xdr:cNvPr id="435" name="nuNumber: 449" hidden="1">
          <a:extLst>
            <a:ext uri="{FF2B5EF4-FFF2-40B4-BE49-F238E27FC236}">
              <a16:creationId xmlns:a16="http://schemas.microsoft.com/office/drawing/2014/main" id="{B4FD4D3D-5DFA-4366-B6D4-5219D831505B}"/>
            </a:ext>
          </a:extLst>
        </xdr:cNvPr>
        <xdr:cNvSpPr/>
      </xdr:nvSpPr>
      <xdr:spPr bwMode="auto">
        <a:xfrm>
          <a:off x="12887325" y="18083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85</xdr:row>
      <xdr:rowOff>119380</xdr:rowOff>
    </xdr:from>
    <xdr:to>
      <xdr:col>18</xdr:col>
      <xdr:colOff>63499</xdr:colOff>
      <xdr:row>86</xdr:row>
      <xdr:rowOff>0</xdr:rowOff>
    </xdr:to>
    <xdr:sp macro="" textlink="">
      <xdr:nvSpPr>
        <xdr:cNvPr id="436" name="nuNumber: 450" hidden="1">
          <a:extLst>
            <a:ext uri="{FF2B5EF4-FFF2-40B4-BE49-F238E27FC236}">
              <a16:creationId xmlns:a16="http://schemas.microsoft.com/office/drawing/2014/main" id="{F6420F8B-CCB0-4B97-95CD-DAF0D1FD2135}"/>
            </a:ext>
          </a:extLst>
        </xdr:cNvPr>
        <xdr:cNvSpPr/>
      </xdr:nvSpPr>
      <xdr:spPr bwMode="auto">
        <a:xfrm>
          <a:off x="13624559" y="1808353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85</xdr:row>
      <xdr:rowOff>119380</xdr:rowOff>
    </xdr:from>
    <xdr:to>
      <xdr:col>19</xdr:col>
      <xdr:colOff>63500</xdr:colOff>
      <xdr:row>86</xdr:row>
      <xdr:rowOff>0</xdr:rowOff>
    </xdr:to>
    <xdr:sp macro="" textlink="">
      <xdr:nvSpPr>
        <xdr:cNvPr id="437" name="nuNumber: 451" hidden="1">
          <a:extLst>
            <a:ext uri="{FF2B5EF4-FFF2-40B4-BE49-F238E27FC236}">
              <a16:creationId xmlns:a16="http://schemas.microsoft.com/office/drawing/2014/main" id="{48D57E2F-17FC-438A-AC69-E1AA3E0EE2C8}"/>
            </a:ext>
          </a:extLst>
        </xdr:cNvPr>
        <xdr:cNvSpPr/>
      </xdr:nvSpPr>
      <xdr:spPr bwMode="auto">
        <a:xfrm>
          <a:off x="14382750" y="18083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85</xdr:row>
      <xdr:rowOff>119380</xdr:rowOff>
    </xdr:from>
    <xdr:to>
      <xdr:col>20</xdr:col>
      <xdr:colOff>63500</xdr:colOff>
      <xdr:row>86</xdr:row>
      <xdr:rowOff>0</xdr:rowOff>
    </xdr:to>
    <xdr:sp macro="" textlink="">
      <xdr:nvSpPr>
        <xdr:cNvPr id="438" name="nuNumber: 452" hidden="1">
          <a:extLst>
            <a:ext uri="{FF2B5EF4-FFF2-40B4-BE49-F238E27FC236}">
              <a16:creationId xmlns:a16="http://schemas.microsoft.com/office/drawing/2014/main" id="{D4D07E1B-C99D-415A-8AC3-15E2B1C540B6}"/>
            </a:ext>
          </a:extLst>
        </xdr:cNvPr>
        <xdr:cNvSpPr/>
      </xdr:nvSpPr>
      <xdr:spPr bwMode="auto">
        <a:xfrm>
          <a:off x="15135225" y="18083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85</xdr:row>
      <xdr:rowOff>119380</xdr:rowOff>
    </xdr:from>
    <xdr:to>
      <xdr:col>21</xdr:col>
      <xdr:colOff>63500</xdr:colOff>
      <xdr:row>86</xdr:row>
      <xdr:rowOff>0</xdr:rowOff>
    </xdr:to>
    <xdr:sp macro="" textlink="">
      <xdr:nvSpPr>
        <xdr:cNvPr id="439" name="nuNumber: 453" hidden="1">
          <a:extLst>
            <a:ext uri="{FF2B5EF4-FFF2-40B4-BE49-F238E27FC236}">
              <a16:creationId xmlns:a16="http://schemas.microsoft.com/office/drawing/2014/main" id="{42A26B47-303E-4BCA-ABFF-2A38F7CC9BB1}"/>
            </a:ext>
          </a:extLst>
        </xdr:cNvPr>
        <xdr:cNvSpPr/>
      </xdr:nvSpPr>
      <xdr:spPr bwMode="auto">
        <a:xfrm>
          <a:off x="15849600" y="18083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86</xdr:row>
      <xdr:rowOff>119380</xdr:rowOff>
    </xdr:from>
    <xdr:to>
      <xdr:col>10</xdr:col>
      <xdr:colOff>63500</xdr:colOff>
      <xdr:row>87</xdr:row>
      <xdr:rowOff>0</xdr:rowOff>
    </xdr:to>
    <xdr:sp macro="" textlink="">
      <xdr:nvSpPr>
        <xdr:cNvPr id="440" name="nuNumber: 454" hidden="1">
          <a:extLst>
            <a:ext uri="{FF2B5EF4-FFF2-40B4-BE49-F238E27FC236}">
              <a16:creationId xmlns:a16="http://schemas.microsoft.com/office/drawing/2014/main" id="{E68DD97B-8EE4-45C0-BAD5-AF46A48B2E4B}"/>
            </a:ext>
          </a:extLst>
        </xdr:cNvPr>
        <xdr:cNvSpPr/>
      </xdr:nvSpPr>
      <xdr:spPr bwMode="auto">
        <a:xfrm>
          <a:off x="7315200" y="18293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86</xdr:row>
      <xdr:rowOff>119380</xdr:rowOff>
    </xdr:from>
    <xdr:to>
      <xdr:col>11</xdr:col>
      <xdr:colOff>63500</xdr:colOff>
      <xdr:row>87</xdr:row>
      <xdr:rowOff>0</xdr:rowOff>
    </xdr:to>
    <xdr:sp macro="" textlink="">
      <xdr:nvSpPr>
        <xdr:cNvPr id="441" name="nuNumber: 455" hidden="1">
          <a:extLst>
            <a:ext uri="{FF2B5EF4-FFF2-40B4-BE49-F238E27FC236}">
              <a16:creationId xmlns:a16="http://schemas.microsoft.com/office/drawing/2014/main" id="{98F16393-59E5-49A5-9FA2-8120DFCB0302}"/>
            </a:ext>
          </a:extLst>
        </xdr:cNvPr>
        <xdr:cNvSpPr/>
      </xdr:nvSpPr>
      <xdr:spPr bwMode="auto">
        <a:xfrm>
          <a:off x="8105775" y="18293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86</xdr:row>
      <xdr:rowOff>119380</xdr:rowOff>
    </xdr:from>
    <xdr:to>
      <xdr:col>12</xdr:col>
      <xdr:colOff>63500</xdr:colOff>
      <xdr:row>87</xdr:row>
      <xdr:rowOff>0</xdr:rowOff>
    </xdr:to>
    <xdr:sp macro="" textlink="">
      <xdr:nvSpPr>
        <xdr:cNvPr id="442" name="nuNumber: 456" hidden="1">
          <a:extLst>
            <a:ext uri="{FF2B5EF4-FFF2-40B4-BE49-F238E27FC236}">
              <a16:creationId xmlns:a16="http://schemas.microsoft.com/office/drawing/2014/main" id="{04C5B341-74DC-4166-9A86-F73BCD223133}"/>
            </a:ext>
          </a:extLst>
        </xdr:cNvPr>
        <xdr:cNvSpPr/>
      </xdr:nvSpPr>
      <xdr:spPr bwMode="auto">
        <a:xfrm>
          <a:off x="8972550" y="18293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86</xdr:row>
      <xdr:rowOff>119380</xdr:rowOff>
    </xdr:from>
    <xdr:to>
      <xdr:col>13</xdr:col>
      <xdr:colOff>63500</xdr:colOff>
      <xdr:row>87</xdr:row>
      <xdr:rowOff>0</xdr:rowOff>
    </xdr:to>
    <xdr:sp macro="" textlink="">
      <xdr:nvSpPr>
        <xdr:cNvPr id="443" name="nuNumber: 457" hidden="1">
          <a:extLst>
            <a:ext uri="{FF2B5EF4-FFF2-40B4-BE49-F238E27FC236}">
              <a16:creationId xmlns:a16="http://schemas.microsoft.com/office/drawing/2014/main" id="{B7BA18B4-11DB-4C08-8FAE-3410293C6F34}"/>
            </a:ext>
          </a:extLst>
        </xdr:cNvPr>
        <xdr:cNvSpPr/>
      </xdr:nvSpPr>
      <xdr:spPr bwMode="auto">
        <a:xfrm>
          <a:off x="9753600" y="18293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86</xdr:row>
      <xdr:rowOff>119380</xdr:rowOff>
    </xdr:from>
    <xdr:to>
      <xdr:col>14</xdr:col>
      <xdr:colOff>63500</xdr:colOff>
      <xdr:row>87</xdr:row>
      <xdr:rowOff>0</xdr:rowOff>
    </xdr:to>
    <xdr:sp macro="" textlink="">
      <xdr:nvSpPr>
        <xdr:cNvPr id="444" name="nuNumber: 458" hidden="1">
          <a:extLst>
            <a:ext uri="{FF2B5EF4-FFF2-40B4-BE49-F238E27FC236}">
              <a16:creationId xmlns:a16="http://schemas.microsoft.com/office/drawing/2014/main" id="{9AA4D73E-60D6-416C-A10C-BB200562FF56}"/>
            </a:ext>
          </a:extLst>
        </xdr:cNvPr>
        <xdr:cNvSpPr/>
      </xdr:nvSpPr>
      <xdr:spPr bwMode="auto">
        <a:xfrm>
          <a:off x="10515600" y="18293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86</xdr:row>
      <xdr:rowOff>119380</xdr:rowOff>
    </xdr:from>
    <xdr:to>
      <xdr:col>15</xdr:col>
      <xdr:colOff>63500</xdr:colOff>
      <xdr:row>87</xdr:row>
      <xdr:rowOff>0</xdr:rowOff>
    </xdr:to>
    <xdr:sp macro="" textlink="">
      <xdr:nvSpPr>
        <xdr:cNvPr id="445" name="nuNumber: 459" hidden="1">
          <a:extLst>
            <a:ext uri="{FF2B5EF4-FFF2-40B4-BE49-F238E27FC236}">
              <a16:creationId xmlns:a16="http://schemas.microsoft.com/office/drawing/2014/main" id="{718F1847-7097-4DE8-8287-4EE73A8456FC}"/>
            </a:ext>
          </a:extLst>
        </xdr:cNvPr>
        <xdr:cNvSpPr/>
      </xdr:nvSpPr>
      <xdr:spPr bwMode="auto">
        <a:xfrm>
          <a:off x="11325225" y="18293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86</xdr:row>
      <xdr:rowOff>119380</xdr:rowOff>
    </xdr:from>
    <xdr:to>
      <xdr:col>16</xdr:col>
      <xdr:colOff>63500</xdr:colOff>
      <xdr:row>87</xdr:row>
      <xdr:rowOff>0</xdr:rowOff>
    </xdr:to>
    <xdr:sp macro="" textlink="">
      <xdr:nvSpPr>
        <xdr:cNvPr id="446" name="nuNumber: 460" hidden="1">
          <a:extLst>
            <a:ext uri="{FF2B5EF4-FFF2-40B4-BE49-F238E27FC236}">
              <a16:creationId xmlns:a16="http://schemas.microsoft.com/office/drawing/2014/main" id="{C602C5E2-34A7-44F3-8CFD-E8FE9C300EE6}"/>
            </a:ext>
          </a:extLst>
        </xdr:cNvPr>
        <xdr:cNvSpPr/>
      </xdr:nvSpPr>
      <xdr:spPr bwMode="auto">
        <a:xfrm>
          <a:off x="12106275" y="18293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86</xdr:row>
      <xdr:rowOff>119380</xdr:rowOff>
    </xdr:from>
    <xdr:to>
      <xdr:col>17</xdr:col>
      <xdr:colOff>63500</xdr:colOff>
      <xdr:row>87</xdr:row>
      <xdr:rowOff>0</xdr:rowOff>
    </xdr:to>
    <xdr:sp macro="" textlink="">
      <xdr:nvSpPr>
        <xdr:cNvPr id="447" name="nuNumber: 461" hidden="1">
          <a:extLst>
            <a:ext uri="{FF2B5EF4-FFF2-40B4-BE49-F238E27FC236}">
              <a16:creationId xmlns:a16="http://schemas.microsoft.com/office/drawing/2014/main" id="{607112D5-38D5-44CE-B7E6-A42C0FFC48B6}"/>
            </a:ext>
          </a:extLst>
        </xdr:cNvPr>
        <xdr:cNvSpPr/>
      </xdr:nvSpPr>
      <xdr:spPr bwMode="auto">
        <a:xfrm>
          <a:off x="12887325" y="18293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86</xdr:row>
      <xdr:rowOff>119380</xdr:rowOff>
    </xdr:from>
    <xdr:to>
      <xdr:col>18</xdr:col>
      <xdr:colOff>63499</xdr:colOff>
      <xdr:row>87</xdr:row>
      <xdr:rowOff>0</xdr:rowOff>
    </xdr:to>
    <xdr:sp macro="" textlink="">
      <xdr:nvSpPr>
        <xdr:cNvPr id="448" name="nuNumber: 462" hidden="1">
          <a:extLst>
            <a:ext uri="{FF2B5EF4-FFF2-40B4-BE49-F238E27FC236}">
              <a16:creationId xmlns:a16="http://schemas.microsoft.com/office/drawing/2014/main" id="{A130D7D1-314D-429E-AD10-6AECAB3BADAD}"/>
            </a:ext>
          </a:extLst>
        </xdr:cNvPr>
        <xdr:cNvSpPr/>
      </xdr:nvSpPr>
      <xdr:spPr bwMode="auto">
        <a:xfrm>
          <a:off x="13624559" y="1829308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86</xdr:row>
      <xdr:rowOff>119380</xdr:rowOff>
    </xdr:from>
    <xdr:to>
      <xdr:col>19</xdr:col>
      <xdr:colOff>63500</xdr:colOff>
      <xdr:row>87</xdr:row>
      <xdr:rowOff>0</xdr:rowOff>
    </xdr:to>
    <xdr:sp macro="" textlink="">
      <xdr:nvSpPr>
        <xdr:cNvPr id="449" name="nuNumber: 463" hidden="1">
          <a:extLst>
            <a:ext uri="{FF2B5EF4-FFF2-40B4-BE49-F238E27FC236}">
              <a16:creationId xmlns:a16="http://schemas.microsoft.com/office/drawing/2014/main" id="{E0EE0F57-E7FE-4EAD-8AB9-E67FC616D5C4}"/>
            </a:ext>
          </a:extLst>
        </xdr:cNvPr>
        <xdr:cNvSpPr/>
      </xdr:nvSpPr>
      <xdr:spPr bwMode="auto">
        <a:xfrm>
          <a:off x="14382750" y="18293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86</xdr:row>
      <xdr:rowOff>119380</xdr:rowOff>
    </xdr:from>
    <xdr:to>
      <xdr:col>20</xdr:col>
      <xdr:colOff>63500</xdr:colOff>
      <xdr:row>87</xdr:row>
      <xdr:rowOff>0</xdr:rowOff>
    </xdr:to>
    <xdr:sp macro="" textlink="">
      <xdr:nvSpPr>
        <xdr:cNvPr id="450" name="nuNumber: 464" hidden="1">
          <a:extLst>
            <a:ext uri="{FF2B5EF4-FFF2-40B4-BE49-F238E27FC236}">
              <a16:creationId xmlns:a16="http://schemas.microsoft.com/office/drawing/2014/main" id="{93F5D865-2503-448E-BCAF-0FF6E13EAC0F}"/>
            </a:ext>
          </a:extLst>
        </xdr:cNvPr>
        <xdr:cNvSpPr/>
      </xdr:nvSpPr>
      <xdr:spPr bwMode="auto">
        <a:xfrm>
          <a:off x="15135225" y="18293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86</xdr:row>
      <xdr:rowOff>119380</xdr:rowOff>
    </xdr:from>
    <xdr:to>
      <xdr:col>21</xdr:col>
      <xdr:colOff>63500</xdr:colOff>
      <xdr:row>87</xdr:row>
      <xdr:rowOff>0</xdr:rowOff>
    </xdr:to>
    <xdr:sp macro="" textlink="">
      <xdr:nvSpPr>
        <xdr:cNvPr id="451" name="nuNumber: 465" hidden="1">
          <a:extLst>
            <a:ext uri="{FF2B5EF4-FFF2-40B4-BE49-F238E27FC236}">
              <a16:creationId xmlns:a16="http://schemas.microsoft.com/office/drawing/2014/main" id="{9AC8D0B2-3F14-4523-88FC-57B0A4510320}"/>
            </a:ext>
          </a:extLst>
        </xdr:cNvPr>
        <xdr:cNvSpPr/>
      </xdr:nvSpPr>
      <xdr:spPr bwMode="auto">
        <a:xfrm>
          <a:off x="15849600" y="182930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88</xdr:row>
      <xdr:rowOff>119379</xdr:rowOff>
    </xdr:from>
    <xdr:to>
      <xdr:col>10</xdr:col>
      <xdr:colOff>63500</xdr:colOff>
      <xdr:row>88</xdr:row>
      <xdr:rowOff>182879</xdr:rowOff>
    </xdr:to>
    <xdr:sp macro="" textlink="">
      <xdr:nvSpPr>
        <xdr:cNvPr id="452" name="nuNumber: 466" hidden="1">
          <a:extLst>
            <a:ext uri="{FF2B5EF4-FFF2-40B4-BE49-F238E27FC236}">
              <a16:creationId xmlns:a16="http://schemas.microsoft.com/office/drawing/2014/main" id="{690D8DA3-C18B-4134-82CE-33C9CF41BBF7}"/>
            </a:ext>
          </a:extLst>
        </xdr:cNvPr>
        <xdr:cNvSpPr/>
      </xdr:nvSpPr>
      <xdr:spPr bwMode="auto">
        <a:xfrm>
          <a:off x="7315200" y="18712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88</xdr:row>
      <xdr:rowOff>119379</xdr:rowOff>
    </xdr:from>
    <xdr:to>
      <xdr:col>12</xdr:col>
      <xdr:colOff>63500</xdr:colOff>
      <xdr:row>88</xdr:row>
      <xdr:rowOff>182879</xdr:rowOff>
    </xdr:to>
    <xdr:sp macro="" textlink="">
      <xdr:nvSpPr>
        <xdr:cNvPr id="453" name="nuNumber: 467" hidden="1">
          <a:extLst>
            <a:ext uri="{FF2B5EF4-FFF2-40B4-BE49-F238E27FC236}">
              <a16:creationId xmlns:a16="http://schemas.microsoft.com/office/drawing/2014/main" id="{AA963D80-1034-4BA8-B985-D4186CA3900D}"/>
            </a:ext>
          </a:extLst>
        </xdr:cNvPr>
        <xdr:cNvSpPr/>
      </xdr:nvSpPr>
      <xdr:spPr bwMode="auto">
        <a:xfrm>
          <a:off x="8972550" y="18712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88</xdr:row>
      <xdr:rowOff>119379</xdr:rowOff>
    </xdr:from>
    <xdr:to>
      <xdr:col>13</xdr:col>
      <xdr:colOff>63500</xdr:colOff>
      <xdr:row>88</xdr:row>
      <xdr:rowOff>182879</xdr:rowOff>
    </xdr:to>
    <xdr:sp macro="" textlink="">
      <xdr:nvSpPr>
        <xdr:cNvPr id="454" name="nuNumber: 468" hidden="1">
          <a:extLst>
            <a:ext uri="{FF2B5EF4-FFF2-40B4-BE49-F238E27FC236}">
              <a16:creationId xmlns:a16="http://schemas.microsoft.com/office/drawing/2014/main" id="{2FBB8654-5885-4AF9-8D6D-26FD7E9A7B5E}"/>
            </a:ext>
          </a:extLst>
        </xdr:cNvPr>
        <xdr:cNvSpPr/>
      </xdr:nvSpPr>
      <xdr:spPr bwMode="auto">
        <a:xfrm>
          <a:off x="9753600" y="18712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88</xdr:row>
      <xdr:rowOff>119379</xdr:rowOff>
    </xdr:from>
    <xdr:to>
      <xdr:col>14</xdr:col>
      <xdr:colOff>63500</xdr:colOff>
      <xdr:row>88</xdr:row>
      <xdr:rowOff>182879</xdr:rowOff>
    </xdr:to>
    <xdr:sp macro="" textlink="">
      <xdr:nvSpPr>
        <xdr:cNvPr id="455" name="nuNumber: 469" hidden="1">
          <a:extLst>
            <a:ext uri="{FF2B5EF4-FFF2-40B4-BE49-F238E27FC236}">
              <a16:creationId xmlns:a16="http://schemas.microsoft.com/office/drawing/2014/main" id="{EA80AE01-626D-49C2-8ABC-C77741F398D0}"/>
            </a:ext>
          </a:extLst>
        </xdr:cNvPr>
        <xdr:cNvSpPr/>
      </xdr:nvSpPr>
      <xdr:spPr bwMode="auto">
        <a:xfrm>
          <a:off x="10515600" y="18712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88</xdr:row>
      <xdr:rowOff>119379</xdr:rowOff>
    </xdr:from>
    <xdr:to>
      <xdr:col>15</xdr:col>
      <xdr:colOff>63500</xdr:colOff>
      <xdr:row>88</xdr:row>
      <xdr:rowOff>182879</xdr:rowOff>
    </xdr:to>
    <xdr:sp macro="" textlink="">
      <xdr:nvSpPr>
        <xdr:cNvPr id="456" name="nuNumber: 470" hidden="1">
          <a:extLst>
            <a:ext uri="{FF2B5EF4-FFF2-40B4-BE49-F238E27FC236}">
              <a16:creationId xmlns:a16="http://schemas.microsoft.com/office/drawing/2014/main" id="{466EEDA9-DF1D-4B91-9FF6-2A3BD2D1AACE}"/>
            </a:ext>
          </a:extLst>
        </xdr:cNvPr>
        <xdr:cNvSpPr/>
      </xdr:nvSpPr>
      <xdr:spPr bwMode="auto">
        <a:xfrm>
          <a:off x="11325225" y="18712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88</xdr:row>
      <xdr:rowOff>119379</xdr:rowOff>
    </xdr:from>
    <xdr:to>
      <xdr:col>16</xdr:col>
      <xdr:colOff>63500</xdr:colOff>
      <xdr:row>88</xdr:row>
      <xdr:rowOff>182879</xdr:rowOff>
    </xdr:to>
    <xdr:sp macro="" textlink="">
      <xdr:nvSpPr>
        <xdr:cNvPr id="457" name="nuNumber: 471" hidden="1">
          <a:extLst>
            <a:ext uri="{FF2B5EF4-FFF2-40B4-BE49-F238E27FC236}">
              <a16:creationId xmlns:a16="http://schemas.microsoft.com/office/drawing/2014/main" id="{D5123045-9D5F-4E58-AAF2-EA8EC6280BA9}"/>
            </a:ext>
          </a:extLst>
        </xdr:cNvPr>
        <xdr:cNvSpPr/>
      </xdr:nvSpPr>
      <xdr:spPr bwMode="auto">
        <a:xfrm>
          <a:off x="12106275" y="18712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88</xdr:row>
      <xdr:rowOff>119379</xdr:rowOff>
    </xdr:from>
    <xdr:to>
      <xdr:col>17</xdr:col>
      <xdr:colOff>63500</xdr:colOff>
      <xdr:row>88</xdr:row>
      <xdr:rowOff>182879</xdr:rowOff>
    </xdr:to>
    <xdr:sp macro="" textlink="">
      <xdr:nvSpPr>
        <xdr:cNvPr id="458" name="nuNumber: 472" hidden="1">
          <a:extLst>
            <a:ext uri="{FF2B5EF4-FFF2-40B4-BE49-F238E27FC236}">
              <a16:creationId xmlns:a16="http://schemas.microsoft.com/office/drawing/2014/main" id="{68EB836E-B718-40FA-B286-D311F6952F51}"/>
            </a:ext>
          </a:extLst>
        </xdr:cNvPr>
        <xdr:cNvSpPr/>
      </xdr:nvSpPr>
      <xdr:spPr bwMode="auto">
        <a:xfrm>
          <a:off x="12887325" y="18712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88</xdr:row>
      <xdr:rowOff>119379</xdr:rowOff>
    </xdr:from>
    <xdr:to>
      <xdr:col>18</xdr:col>
      <xdr:colOff>63499</xdr:colOff>
      <xdr:row>88</xdr:row>
      <xdr:rowOff>182879</xdr:rowOff>
    </xdr:to>
    <xdr:sp macro="" textlink="">
      <xdr:nvSpPr>
        <xdr:cNvPr id="459" name="nuNumber: 473" hidden="1">
          <a:extLst>
            <a:ext uri="{FF2B5EF4-FFF2-40B4-BE49-F238E27FC236}">
              <a16:creationId xmlns:a16="http://schemas.microsoft.com/office/drawing/2014/main" id="{CF5EB983-BBF0-47B8-B94D-835FE93E5A5E}"/>
            </a:ext>
          </a:extLst>
        </xdr:cNvPr>
        <xdr:cNvSpPr/>
      </xdr:nvSpPr>
      <xdr:spPr bwMode="auto">
        <a:xfrm>
          <a:off x="13624559" y="18712179"/>
          <a:ext cx="5969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88</xdr:row>
      <xdr:rowOff>119379</xdr:rowOff>
    </xdr:from>
    <xdr:to>
      <xdr:col>19</xdr:col>
      <xdr:colOff>63500</xdr:colOff>
      <xdr:row>88</xdr:row>
      <xdr:rowOff>182879</xdr:rowOff>
    </xdr:to>
    <xdr:sp macro="" textlink="">
      <xdr:nvSpPr>
        <xdr:cNvPr id="460" name="nuNumber: 474" hidden="1">
          <a:extLst>
            <a:ext uri="{FF2B5EF4-FFF2-40B4-BE49-F238E27FC236}">
              <a16:creationId xmlns:a16="http://schemas.microsoft.com/office/drawing/2014/main" id="{FF2934BE-3DA2-489C-9023-9F0DB71146E6}"/>
            </a:ext>
          </a:extLst>
        </xdr:cNvPr>
        <xdr:cNvSpPr/>
      </xdr:nvSpPr>
      <xdr:spPr bwMode="auto">
        <a:xfrm>
          <a:off x="14382750" y="18712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88</xdr:row>
      <xdr:rowOff>119379</xdr:rowOff>
    </xdr:from>
    <xdr:to>
      <xdr:col>20</xdr:col>
      <xdr:colOff>63500</xdr:colOff>
      <xdr:row>88</xdr:row>
      <xdr:rowOff>182879</xdr:rowOff>
    </xdr:to>
    <xdr:sp macro="" textlink="">
      <xdr:nvSpPr>
        <xdr:cNvPr id="461" name="nuNumber: 475" hidden="1">
          <a:extLst>
            <a:ext uri="{FF2B5EF4-FFF2-40B4-BE49-F238E27FC236}">
              <a16:creationId xmlns:a16="http://schemas.microsoft.com/office/drawing/2014/main" id="{7E945932-8B38-4A19-A2F8-BB46BC020352}"/>
            </a:ext>
          </a:extLst>
        </xdr:cNvPr>
        <xdr:cNvSpPr/>
      </xdr:nvSpPr>
      <xdr:spPr bwMode="auto">
        <a:xfrm>
          <a:off x="15135225" y="18712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89</xdr:row>
      <xdr:rowOff>119380</xdr:rowOff>
    </xdr:from>
    <xdr:to>
      <xdr:col>10</xdr:col>
      <xdr:colOff>63500</xdr:colOff>
      <xdr:row>90</xdr:row>
      <xdr:rowOff>0</xdr:rowOff>
    </xdr:to>
    <xdr:sp macro="" textlink="">
      <xdr:nvSpPr>
        <xdr:cNvPr id="462" name="nuNumber: 476" hidden="1">
          <a:extLst>
            <a:ext uri="{FF2B5EF4-FFF2-40B4-BE49-F238E27FC236}">
              <a16:creationId xmlns:a16="http://schemas.microsoft.com/office/drawing/2014/main" id="{A6A926CF-4CCD-4DE3-BAE8-45BCCD6DD9AF}"/>
            </a:ext>
          </a:extLst>
        </xdr:cNvPr>
        <xdr:cNvSpPr/>
      </xdr:nvSpPr>
      <xdr:spPr bwMode="auto">
        <a:xfrm>
          <a:off x="7315200" y="18921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89</xdr:row>
      <xdr:rowOff>119380</xdr:rowOff>
    </xdr:from>
    <xdr:to>
      <xdr:col>11</xdr:col>
      <xdr:colOff>63500</xdr:colOff>
      <xdr:row>90</xdr:row>
      <xdr:rowOff>0</xdr:rowOff>
    </xdr:to>
    <xdr:sp macro="" textlink="">
      <xdr:nvSpPr>
        <xdr:cNvPr id="463" name="nuNumber: 477" hidden="1">
          <a:extLst>
            <a:ext uri="{FF2B5EF4-FFF2-40B4-BE49-F238E27FC236}">
              <a16:creationId xmlns:a16="http://schemas.microsoft.com/office/drawing/2014/main" id="{A05B38FF-480C-475B-A6C8-64E0BAAC5239}"/>
            </a:ext>
          </a:extLst>
        </xdr:cNvPr>
        <xdr:cNvSpPr/>
      </xdr:nvSpPr>
      <xdr:spPr bwMode="auto">
        <a:xfrm>
          <a:off x="8105775" y="18921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89</xdr:row>
      <xdr:rowOff>119380</xdr:rowOff>
    </xdr:from>
    <xdr:to>
      <xdr:col>12</xdr:col>
      <xdr:colOff>63500</xdr:colOff>
      <xdr:row>90</xdr:row>
      <xdr:rowOff>0</xdr:rowOff>
    </xdr:to>
    <xdr:sp macro="" textlink="">
      <xdr:nvSpPr>
        <xdr:cNvPr id="464" name="nuNumber: 478" hidden="1">
          <a:extLst>
            <a:ext uri="{FF2B5EF4-FFF2-40B4-BE49-F238E27FC236}">
              <a16:creationId xmlns:a16="http://schemas.microsoft.com/office/drawing/2014/main" id="{0881A736-70A6-4B64-90B0-A811B883BF28}"/>
            </a:ext>
          </a:extLst>
        </xdr:cNvPr>
        <xdr:cNvSpPr/>
      </xdr:nvSpPr>
      <xdr:spPr bwMode="auto">
        <a:xfrm>
          <a:off x="8972550" y="18921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89</xdr:row>
      <xdr:rowOff>119380</xdr:rowOff>
    </xdr:from>
    <xdr:to>
      <xdr:col>13</xdr:col>
      <xdr:colOff>63500</xdr:colOff>
      <xdr:row>90</xdr:row>
      <xdr:rowOff>0</xdr:rowOff>
    </xdr:to>
    <xdr:sp macro="" textlink="">
      <xdr:nvSpPr>
        <xdr:cNvPr id="465" name="nuNumber: 479" hidden="1">
          <a:extLst>
            <a:ext uri="{FF2B5EF4-FFF2-40B4-BE49-F238E27FC236}">
              <a16:creationId xmlns:a16="http://schemas.microsoft.com/office/drawing/2014/main" id="{B5CA8D9D-40F6-4808-BF38-288EF0B2361F}"/>
            </a:ext>
          </a:extLst>
        </xdr:cNvPr>
        <xdr:cNvSpPr/>
      </xdr:nvSpPr>
      <xdr:spPr bwMode="auto">
        <a:xfrm>
          <a:off x="9753600" y="18921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89</xdr:row>
      <xdr:rowOff>119380</xdr:rowOff>
    </xdr:from>
    <xdr:to>
      <xdr:col>14</xdr:col>
      <xdr:colOff>63500</xdr:colOff>
      <xdr:row>90</xdr:row>
      <xdr:rowOff>0</xdr:rowOff>
    </xdr:to>
    <xdr:sp macro="" textlink="">
      <xdr:nvSpPr>
        <xdr:cNvPr id="466" name="nuNumber: 480" hidden="1">
          <a:extLst>
            <a:ext uri="{FF2B5EF4-FFF2-40B4-BE49-F238E27FC236}">
              <a16:creationId xmlns:a16="http://schemas.microsoft.com/office/drawing/2014/main" id="{7468089F-070C-4A63-BA72-68CDD087B688}"/>
            </a:ext>
          </a:extLst>
        </xdr:cNvPr>
        <xdr:cNvSpPr/>
      </xdr:nvSpPr>
      <xdr:spPr bwMode="auto">
        <a:xfrm>
          <a:off x="10515600" y="18921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89</xdr:row>
      <xdr:rowOff>119380</xdr:rowOff>
    </xdr:from>
    <xdr:to>
      <xdr:col>15</xdr:col>
      <xdr:colOff>63500</xdr:colOff>
      <xdr:row>90</xdr:row>
      <xdr:rowOff>0</xdr:rowOff>
    </xdr:to>
    <xdr:sp macro="" textlink="">
      <xdr:nvSpPr>
        <xdr:cNvPr id="467" name="nuNumber: 481" hidden="1">
          <a:extLst>
            <a:ext uri="{FF2B5EF4-FFF2-40B4-BE49-F238E27FC236}">
              <a16:creationId xmlns:a16="http://schemas.microsoft.com/office/drawing/2014/main" id="{131E1ED1-BD2A-412E-94B7-0C3C1C7CFCB4}"/>
            </a:ext>
          </a:extLst>
        </xdr:cNvPr>
        <xdr:cNvSpPr/>
      </xdr:nvSpPr>
      <xdr:spPr bwMode="auto">
        <a:xfrm>
          <a:off x="11325225" y="18921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89</xdr:row>
      <xdr:rowOff>119380</xdr:rowOff>
    </xdr:from>
    <xdr:to>
      <xdr:col>16</xdr:col>
      <xdr:colOff>63500</xdr:colOff>
      <xdr:row>90</xdr:row>
      <xdr:rowOff>0</xdr:rowOff>
    </xdr:to>
    <xdr:sp macro="" textlink="">
      <xdr:nvSpPr>
        <xdr:cNvPr id="468" name="nuNumber: 482" hidden="1">
          <a:extLst>
            <a:ext uri="{FF2B5EF4-FFF2-40B4-BE49-F238E27FC236}">
              <a16:creationId xmlns:a16="http://schemas.microsoft.com/office/drawing/2014/main" id="{91DEDC15-5869-49C2-994E-662E2EE93592}"/>
            </a:ext>
          </a:extLst>
        </xdr:cNvPr>
        <xdr:cNvSpPr/>
      </xdr:nvSpPr>
      <xdr:spPr bwMode="auto">
        <a:xfrm>
          <a:off x="12106275" y="18921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89</xdr:row>
      <xdr:rowOff>119380</xdr:rowOff>
    </xdr:from>
    <xdr:to>
      <xdr:col>17</xdr:col>
      <xdr:colOff>63500</xdr:colOff>
      <xdr:row>90</xdr:row>
      <xdr:rowOff>0</xdr:rowOff>
    </xdr:to>
    <xdr:sp macro="" textlink="">
      <xdr:nvSpPr>
        <xdr:cNvPr id="469" name="nuNumber: 483" hidden="1">
          <a:extLst>
            <a:ext uri="{FF2B5EF4-FFF2-40B4-BE49-F238E27FC236}">
              <a16:creationId xmlns:a16="http://schemas.microsoft.com/office/drawing/2014/main" id="{10CF5802-58AC-4402-91B7-6FE5CBA33789}"/>
            </a:ext>
          </a:extLst>
        </xdr:cNvPr>
        <xdr:cNvSpPr/>
      </xdr:nvSpPr>
      <xdr:spPr bwMode="auto">
        <a:xfrm>
          <a:off x="12887325" y="18921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89</xdr:row>
      <xdr:rowOff>119380</xdr:rowOff>
    </xdr:from>
    <xdr:to>
      <xdr:col>18</xdr:col>
      <xdr:colOff>63499</xdr:colOff>
      <xdr:row>90</xdr:row>
      <xdr:rowOff>0</xdr:rowOff>
    </xdr:to>
    <xdr:sp macro="" textlink="">
      <xdr:nvSpPr>
        <xdr:cNvPr id="470" name="nuNumber: 484" hidden="1">
          <a:extLst>
            <a:ext uri="{FF2B5EF4-FFF2-40B4-BE49-F238E27FC236}">
              <a16:creationId xmlns:a16="http://schemas.microsoft.com/office/drawing/2014/main" id="{7AE6D9E6-130C-4F8F-84B2-C5624593720B}"/>
            </a:ext>
          </a:extLst>
        </xdr:cNvPr>
        <xdr:cNvSpPr/>
      </xdr:nvSpPr>
      <xdr:spPr bwMode="auto">
        <a:xfrm>
          <a:off x="13624559" y="1892173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89</xdr:row>
      <xdr:rowOff>119380</xdr:rowOff>
    </xdr:from>
    <xdr:to>
      <xdr:col>19</xdr:col>
      <xdr:colOff>63500</xdr:colOff>
      <xdr:row>90</xdr:row>
      <xdr:rowOff>0</xdr:rowOff>
    </xdr:to>
    <xdr:sp macro="" textlink="">
      <xdr:nvSpPr>
        <xdr:cNvPr id="471" name="nuNumber: 485" hidden="1">
          <a:extLst>
            <a:ext uri="{FF2B5EF4-FFF2-40B4-BE49-F238E27FC236}">
              <a16:creationId xmlns:a16="http://schemas.microsoft.com/office/drawing/2014/main" id="{4C21B43B-4DFB-47EB-AE40-34D101890D21}"/>
            </a:ext>
          </a:extLst>
        </xdr:cNvPr>
        <xdr:cNvSpPr/>
      </xdr:nvSpPr>
      <xdr:spPr bwMode="auto">
        <a:xfrm>
          <a:off x="14382750" y="18921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89</xdr:row>
      <xdr:rowOff>119380</xdr:rowOff>
    </xdr:from>
    <xdr:to>
      <xdr:col>20</xdr:col>
      <xdr:colOff>63500</xdr:colOff>
      <xdr:row>90</xdr:row>
      <xdr:rowOff>0</xdr:rowOff>
    </xdr:to>
    <xdr:sp macro="" textlink="">
      <xdr:nvSpPr>
        <xdr:cNvPr id="472" name="nuNumber: 486" hidden="1">
          <a:extLst>
            <a:ext uri="{FF2B5EF4-FFF2-40B4-BE49-F238E27FC236}">
              <a16:creationId xmlns:a16="http://schemas.microsoft.com/office/drawing/2014/main" id="{47CC15F9-D7E8-44F2-9E22-B4CB7F110A34}"/>
            </a:ext>
          </a:extLst>
        </xdr:cNvPr>
        <xdr:cNvSpPr/>
      </xdr:nvSpPr>
      <xdr:spPr bwMode="auto">
        <a:xfrm>
          <a:off x="15135225" y="18921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90</xdr:row>
      <xdr:rowOff>0</xdr:rowOff>
    </xdr:from>
    <xdr:to>
      <xdr:col>6</xdr:col>
      <xdr:colOff>63500</xdr:colOff>
      <xdr:row>90</xdr:row>
      <xdr:rowOff>1</xdr:rowOff>
    </xdr:to>
    <xdr:sp macro="" textlink="">
      <xdr:nvSpPr>
        <xdr:cNvPr id="473" name="nuNumber: 487" hidden="1">
          <a:extLst>
            <a:ext uri="{FF2B5EF4-FFF2-40B4-BE49-F238E27FC236}">
              <a16:creationId xmlns:a16="http://schemas.microsoft.com/office/drawing/2014/main" id="{32A6C2F2-E0B5-4C78-B34B-18FBE6689079}"/>
            </a:ext>
          </a:extLst>
        </xdr:cNvPr>
        <xdr:cNvSpPr/>
      </xdr:nvSpPr>
      <xdr:spPr bwMode="auto">
        <a:xfrm>
          <a:off x="3800475" y="19011900"/>
          <a:ext cx="63500" cy="1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90</xdr:row>
      <xdr:rowOff>0</xdr:rowOff>
    </xdr:from>
    <xdr:to>
      <xdr:col>7</xdr:col>
      <xdr:colOff>63500</xdr:colOff>
      <xdr:row>90</xdr:row>
      <xdr:rowOff>1</xdr:rowOff>
    </xdr:to>
    <xdr:sp macro="" textlink="">
      <xdr:nvSpPr>
        <xdr:cNvPr id="474" name="nuNumber: 488" hidden="1">
          <a:extLst>
            <a:ext uri="{FF2B5EF4-FFF2-40B4-BE49-F238E27FC236}">
              <a16:creationId xmlns:a16="http://schemas.microsoft.com/office/drawing/2014/main" id="{2A93E191-0C36-4C5F-9214-F88D5552C209}"/>
            </a:ext>
          </a:extLst>
        </xdr:cNvPr>
        <xdr:cNvSpPr/>
      </xdr:nvSpPr>
      <xdr:spPr bwMode="auto">
        <a:xfrm>
          <a:off x="4676775" y="19011900"/>
          <a:ext cx="63500" cy="1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63500</xdr:colOff>
      <xdr:row>90</xdr:row>
      <xdr:rowOff>1</xdr:rowOff>
    </xdr:to>
    <xdr:sp macro="" textlink="">
      <xdr:nvSpPr>
        <xdr:cNvPr id="475" name="nuNumber: 489" hidden="1">
          <a:extLst>
            <a:ext uri="{FF2B5EF4-FFF2-40B4-BE49-F238E27FC236}">
              <a16:creationId xmlns:a16="http://schemas.microsoft.com/office/drawing/2014/main" id="{61393FE1-B876-4065-AC7F-32AD5084F606}"/>
            </a:ext>
          </a:extLst>
        </xdr:cNvPr>
        <xdr:cNvSpPr/>
      </xdr:nvSpPr>
      <xdr:spPr bwMode="auto">
        <a:xfrm>
          <a:off x="6467475" y="19011900"/>
          <a:ext cx="63500" cy="1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90</xdr:row>
      <xdr:rowOff>0</xdr:rowOff>
    </xdr:from>
    <xdr:to>
      <xdr:col>10</xdr:col>
      <xdr:colOff>63500</xdr:colOff>
      <xdr:row>90</xdr:row>
      <xdr:rowOff>1</xdr:rowOff>
    </xdr:to>
    <xdr:sp macro="" textlink="">
      <xdr:nvSpPr>
        <xdr:cNvPr id="476" name="nuNumber: 490" hidden="1">
          <a:extLst>
            <a:ext uri="{FF2B5EF4-FFF2-40B4-BE49-F238E27FC236}">
              <a16:creationId xmlns:a16="http://schemas.microsoft.com/office/drawing/2014/main" id="{89133495-C150-4BB8-98E5-E496D87B5A13}"/>
            </a:ext>
          </a:extLst>
        </xdr:cNvPr>
        <xdr:cNvSpPr/>
      </xdr:nvSpPr>
      <xdr:spPr bwMode="auto">
        <a:xfrm>
          <a:off x="7315200" y="19011900"/>
          <a:ext cx="63500" cy="1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90</xdr:row>
      <xdr:rowOff>0</xdr:rowOff>
    </xdr:from>
    <xdr:to>
      <xdr:col>11</xdr:col>
      <xdr:colOff>63500</xdr:colOff>
      <xdr:row>90</xdr:row>
      <xdr:rowOff>1</xdr:rowOff>
    </xdr:to>
    <xdr:sp macro="" textlink="">
      <xdr:nvSpPr>
        <xdr:cNvPr id="477" name="nuNumber: 491" hidden="1">
          <a:extLst>
            <a:ext uri="{FF2B5EF4-FFF2-40B4-BE49-F238E27FC236}">
              <a16:creationId xmlns:a16="http://schemas.microsoft.com/office/drawing/2014/main" id="{CE29C3AC-5462-416F-9FD2-2E018F8A8771}"/>
            </a:ext>
          </a:extLst>
        </xdr:cNvPr>
        <xdr:cNvSpPr/>
      </xdr:nvSpPr>
      <xdr:spPr bwMode="auto">
        <a:xfrm>
          <a:off x="8105775" y="19011900"/>
          <a:ext cx="63500" cy="1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90</xdr:row>
      <xdr:rowOff>0</xdr:rowOff>
    </xdr:from>
    <xdr:to>
      <xdr:col>12</xdr:col>
      <xdr:colOff>63500</xdr:colOff>
      <xdr:row>90</xdr:row>
      <xdr:rowOff>1</xdr:rowOff>
    </xdr:to>
    <xdr:sp macro="" textlink="">
      <xdr:nvSpPr>
        <xdr:cNvPr id="478" name="nuNumber: 492" hidden="1">
          <a:extLst>
            <a:ext uri="{FF2B5EF4-FFF2-40B4-BE49-F238E27FC236}">
              <a16:creationId xmlns:a16="http://schemas.microsoft.com/office/drawing/2014/main" id="{A7C72BF1-4D53-4C8D-B112-74EBA9E467F3}"/>
            </a:ext>
          </a:extLst>
        </xdr:cNvPr>
        <xdr:cNvSpPr/>
      </xdr:nvSpPr>
      <xdr:spPr bwMode="auto">
        <a:xfrm>
          <a:off x="8972550" y="19011900"/>
          <a:ext cx="63500" cy="1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90</xdr:row>
      <xdr:rowOff>0</xdr:rowOff>
    </xdr:from>
    <xdr:to>
      <xdr:col>13</xdr:col>
      <xdr:colOff>63500</xdr:colOff>
      <xdr:row>90</xdr:row>
      <xdr:rowOff>1</xdr:rowOff>
    </xdr:to>
    <xdr:sp macro="" textlink="">
      <xdr:nvSpPr>
        <xdr:cNvPr id="479" name="nuNumber: 493" hidden="1">
          <a:extLst>
            <a:ext uri="{FF2B5EF4-FFF2-40B4-BE49-F238E27FC236}">
              <a16:creationId xmlns:a16="http://schemas.microsoft.com/office/drawing/2014/main" id="{099C4909-12F2-4543-A930-385689C56BDA}"/>
            </a:ext>
          </a:extLst>
        </xdr:cNvPr>
        <xdr:cNvSpPr/>
      </xdr:nvSpPr>
      <xdr:spPr bwMode="auto">
        <a:xfrm>
          <a:off x="9753600" y="19011900"/>
          <a:ext cx="63500" cy="1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90</xdr:row>
      <xdr:rowOff>0</xdr:rowOff>
    </xdr:from>
    <xdr:to>
      <xdr:col>14</xdr:col>
      <xdr:colOff>63500</xdr:colOff>
      <xdr:row>90</xdr:row>
      <xdr:rowOff>1</xdr:rowOff>
    </xdr:to>
    <xdr:sp macro="" textlink="">
      <xdr:nvSpPr>
        <xdr:cNvPr id="480" name="nuNumber: 494" hidden="1">
          <a:extLst>
            <a:ext uri="{FF2B5EF4-FFF2-40B4-BE49-F238E27FC236}">
              <a16:creationId xmlns:a16="http://schemas.microsoft.com/office/drawing/2014/main" id="{B6624529-54CF-4B55-91A5-611FA3D2D746}"/>
            </a:ext>
          </a:extLst>
        </xdr:cNvPr>
        <xdr:cNvSpPr/>
      </xdr:nvSpPr>
      <xdr:spPr bwMode="auto">
        <a:xfrm>
          <a:off x="10515600" y="19011900"/>
          <a:ext cx="63500" cy="1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90</xdr:row>
      <xdr:rowOff>0</xdr:rowOff>
    </xdr:from>
    <xdr:to>
      <xdr:col>15</xdr:col>
      <xdr:colOff>63500</xdr:colOff>
      <xdr:row>90</xdr:row>
      <xdr:rowOff>1</xdr:rowOff>
    </xdr:to>
    <xdr:sp macro="" textlink="">
      <xdr:nvSpPr>
        <xdr:cNvPr id="481" name="nuNumber: 495" hidden="1">
          <a:extLst>
            <a:ext uri="{FF2B5EF4-FFF2-40B4-BE49-F238E27FC236}">
              <a16:creationId xmlns:a16="http://schemas.microsoft.com/office/drawing/2014/main" id="{D878D994-317A-400C-BFE4-14FD42FD38E8}"/>
            </a:ext>
          </a:extLst>
        </xdr:cNvPr>
        <xdr:cNvSpPr/>
      </xdr:nvSpPr>
      <xdr:spPr bwMode="auto">
        <a:xfrm>
          <a:off x="11325225" y="19011900"/>
          <a:ext cx="63500" cy="1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90</xdr:row>
      <xdr:rowOff>0</xdr:rowOff>
    </xdr:from>
    <xdr:to>
      <xdr:col>16</xdr:col>
      <xdr:colOff>63500</xdr:colOff>
      <xdr:row>90</xdr:row>
      <xdr:rowOff>1</xdr:rowOff>
    </xdr:to>
    <xdr:sp macro="" textlink="">
      <xdr:nvSpPr>
        <xdr:cNvPr id="482" name="nuNumber: 496" hidden="1">
          <a:extLst>
            <a:ext uri="{FF2B5EF4-FFF2-40B4-BE49-F238E27FC236}">
              <a16:creationId xmlns:a16="http://schemas.microsoft.com/office/drawing/2014/main" id="{991EAD9F-6D57-4F57-91F0-DD07A482FCAC}"/>
            </a:ext>
          </a:extLst>
        </xdr:cNvPr>
        <xdr:cNvSpPr/>
      </xdr:nvSpPr>
      <xdr:spPr bwMode="auto">
        <a:xfrm>
          <a:off x="12106275" y="19011900"/>
          <a:ext cx="63500" cy="1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90</xdr:row>
      <xdr:rowOff>0</xdr:rowOff>
    </xdr:from>
    <xdr:to>
      <xdr:col>17</xdr:col>
      <xdr:colOff>63500</xdr:colOff>
      <xdr:row>90</xdr:row>
      <xdr:rowOff>1</xdr:rowOff>
    </xdr:to>
    <xdr:sp macro="" textlink="">
      <xdr:nvSpPr>
        <xdr:cNvPr id="483" name="nuNumber: 497" hidden="1">
          <a:extLst>
            <a:ext uri="{FF2B5EF4-FFF2-40B4-BE49-F238E27FC236}">
              <a16:creationId xmlns:a16="http://schemas.microsoft.com/office/drawing/2014/main" id="{425BB7EA-7C2C-43DD-BBC4-5D08F6109432}"/>
            </a:ext>
          </a:extLst>
        </xdr:cNvPr>
        <xdr:cNvSpPr/>
      </xdr:nvSpPr>
      <xdr:spPr bwMode="auto">
        <a:xfrm>
          <a:off x="12887325" y="19011900"/>
          <a:ext cx="63500" cy="1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90</xdr:row>
      <xdr:rowOff>0</xdr:rowOff>
    </xdr:from>
    <xdr:to>
      <xdr:col>18</xdr:col>
      <xdr:colOff>63499</xdr:colOff>
      <xdr:row>90</xdr:row>
      <xdr:rowOff>1</xdr:rowOff>
    </xdr:to>
    <xdr:sp macro="" textlink="">
      <xdr:nvSpPr>
        <xdr:cNvPr id="484" name="nuNumber: 498" hidden="1">
          <a:extLst>
            <a:ext uri="{FF2B5EF4-FFF2-40B4-BE49-F238E27FC236}">
              <a16:creationId xmlns:a16="http://schemas.microsoft.com/office/drawing/2014/main" id="{AB6B9A86-B3B9-4AB0-B59E-0302BF174632}"/>
            </a:ext>
          </a:extLst>
        </xdr:cNvPr>
        <xdr:cNvSpPr/>
      </xdr:nvSpPr>
      <xdr:spPr bwMode="auto">
        <a:xfrm>
          <a:off x="13624559" y="19011900"/>
          <a:ext cx="59690" cy="1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90</xdr:row>
      <xdr:rowOff>0</xdr:rowOff>
    </xdr:from>
    <xdr:to>
      <xdr:col>19</xdr:col>
      <xdr:colOff>63500</xdr:colOff>
      <xdr:row>90</xdr:row>
      <xdr:rowOff>1</xdr:rowOff>
    </xdr:to>
    <xdr:sp macro="" textlink="">
      <xdr:nvSpPr>
        <xdr:cNvPr id="485" name="nuNumber: 499" hidden="1">
          <a:extLst>
            <a:ext uri="{FF2B5EF4-FFF2-40B4-BE49-F238E27FC236}">
              <a16:creationId xmlns:a16="http://schemas.microsoft.com/office/drawing/2014/main" id="{EE4603B9-C642-4B0E-8CA0-45B8A6CFC5C4}"/>
            </a:ext>
          </a:extLst>
        </xdr:cNvPr>
        <xdr:cNvSpPr/>
      </xdr:nvSpPr>
      <xdr:spPr bwMode="auto">
        <a:xfrm>
          <a:off x="14382750" y="19011900"/>
          <a:ext cx="63500" cy="1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90</xdr:row>
      <xdr:rowOff>0</xdr:rowOff>
    </xdr:from>
    <xdr:to>
      <xdr:col>20</xdr:col>
      <xdr:colOff>63500</xdr:colOff>
      <xdr:row>90</xdr:row>
      <xdr:rowOff>1</xdr:rowOff>
    </xdr:to>
    <xdr:sp macro="" textlink="">
      <xdr:nvSpPr>
        <xdr:cNvPr id="486" name="nuNumber: 500" hidden="1">
          <a:extLst>
            <a:ext uri="{FF2B5EF4-FFF2-40B4-BE49-F238E27FC236}">
              <a16:creationId xmlns:a16="http://schemas.microsoft.com/office/drawing/2014/main" id="{3D0D1216-2131-4F7C-B4D4-8895B7B4791B}"/>
            </a:ext>
          </a:extLst>
        </xdr:cNvPr>
        <xdr:cNvSpPr/>
      </xdr:nvSpPr>
      <xdr:spPr bwMode="auto">
        <a:xfrm>
          <a:off x="15135225" y="19011900"/>
          <a:ext cx="63500" cy="1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90</xdr:row>
      <xdr:rowOff>0</xdr:rowOff>
    </xdr:from>
    <xdr:to>
      <xdr:col>21</xdr:col>
      <xdr:colOff>63500</xdr:colOff>
      <xdr:row>90</xdr:row>
      <xdr:rowOff>1</xdr:rowOff>
    </xdr:to>
    <xdr:sp macro="" textlink="">
      <xdr:nvSpPr>
        <xdr:cNvPr id="487" name="nuNumber: 501" hidden="1">
          <a:extLst>
            <a:ext uri="{FF2B5EF4-FFF2-40B4-BE49-F238E27FC236}">
              <a16:creationId xmlns:a16="http://schemas.microsoft.com/office/drawing/2014/main" id="{43EC941E-4053-4B37-8130-D0AAC7F8EA31}"/>
            </a:ext>
          </a:extLst>
        </xdr:cNvPr>
        <xdr:cNvSpPr/>
      </xdr:nvSpPr>
      <xdr:spPr bwMode="auto">
        <a:xfrm>
          <a:off x="15849600" y="19011900"/>
          <a:ext cx="63500" cy="1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90</xdr:row>
      <xdr:rowOff>119379</xdr:rowOff>
    </xdr:from>
    <xdr:to>
      <xdr:col>8</xdr:col>
      <xdr:colOff>63500</xdr:colOff>
      <xdr:row>90</xdr:row>
      <xdr:rowOff>182879</xdr:rowOff>
    </xdr:to>
    <xdr:sp macro="" textlink="">
      <xdr:nvSpPr>
        <xdr:cNvPr id="488" name="nuNumber: 502" hidden="1">
          <a:extLst>
            <a:ext uri="{FF2B5EF4-FFF2-40B4-BE49-F238E27FC236}">
              <a16:creationId xmlns:a16="http://schemas.microsoft.com/office/drawing/2014/main" id="{11C36733-1AF8-4602-BBEC-3E83D6822318}"/>
            </a:ext>
          </a:extLst>
        </xdr:cNvPr>
        <xdr:cNvSpPr/>
      </xdr:nvSpPr>
      <xdr:spPr bwMode="auto">
        <a:xfrm>
          <a:off x="5562600" y="191312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90</xdr:row>
      <xdr:rowOff>119379</xdr:rowOff>
    </xdr:from>
    <xdr:to>
      <xdr:col>9</xdr:col>
      <xdr:colOff>63500</xdr:colOff>
      <xdr:row>90</xdr:row>
      <xdr:rowOff>182879</xdr:rowOff>
    </xdr:to>
    <xdr:sp macro="" textlink="">
      <xdr:nvSpPr>
        <xdr:cNvPr id="489" name="nuNumber: 503" hidden="1">
          <a:extLst>
            <a:ext uri="{FF2B5EF4-FFF2-40B4-BE49-F238E27FC236}">
              <a16:creationId xmlns:a16="http://schemas.microsoft.com/office/drawing/2014/main" id="{CF68C937-09B9-42A1-94BC-E288F599F4A0}"/>
            </a:ext>
          </a:extLst>
        </xdr:cNvPr>
        <xdr:cNvSpPr/>
      </xdr:nvSpPr>
      <xdr:spPr bwMode="auto">
        <a:xfrm>
          <a:off x="6467475" y="191312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90</xdr:row>
      <xdr:rowOff>119379</xdr:rowOff>
    </xdr:from>
    <xdr:to>
      <xdr:col>9</xdr:col>
      <xdr:colOff>63500</xdr:colOff>
      <xdr:row>90</xdr:row>
      <xdr:rowOff>182879</xdr:rowOff>
    </xdr:to>
    <xdr:sp macro="" textlink="">
      <xdr:nvSpPr>
        <xdr:cNvPr id="490" name="nuNumber: 504" hidden="1">
          <a:extLst>
            <a:ext uri="{FF2B5EF4-FFF2-40B4-BE49-F238E27FC236}">
              <a16:creationId xmlns:a16="http://schemas.microsoft.com/office/drawing/2014/main" id="{6390D03D-D687-4F9D-9D73-85639955C10F}"/>
            </a:ext>
          </a:extLst>
        </xdr:cNvPr>
        <xdr:cNvSpPr/>
      </xdr:nvSpPr>
      <xdr:spPr bwMode="auto">
        <a:xfrm>
          <a:off x="6467475" y="191312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90</xdr:row>
      <xdr:rowOff>119379</xdr:rowOff>
    </xdr:from>
    <xdr:to>
      <xdr:col>10</xdr:col>
      <xdr:colOff>63500</xdr:colOff>
      <xdr:row>90</xdr:row>
      <xdr:rowOff>182879</xdr:rowOff>
    </xdr:to>
    <xdr:sp macro="" textlink="">
      <xdr:nvSpPr>
        <xdr:cNvPr id="491" name="nuNumber: 505" hidden="1">
          <a:extLst>
            <a:ext uri="{FF2B5EF4-FFF2-40B4-BE49-F238E27FC236}">
              <a16:creationId xmlns:a16="http://schemas.microsoft.com/office/drawing/2014/main" id="{5A619B3E-DDAC-4133-97D2-E40670ED4970}"/>
            </a:ext>
          </a:extLst>
        </xdr:cNvPr>
        <xdr:cNvSpPr/>
      </xdr:nvSpPr>
      <xdr:spPr bwMode="auto">
        <a:xfrm>
          <a:off x="7315200" y="191312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90</xdr:row>
      <xdr:rowOff>119379</xdr:rowOff>
    </xdr:from>
    <xdr:to>
      <xdr:col>11</xdr:col>
      <xdr:colOff>63500</xdr:colOff>
      <xdr:row>90</xdr:row>
      <xdr:rowOff>182879</xdr:rowOff>
    </xdr:to>
    <xdr:sp macro="" textlink="">
      <xdr:nvSpPr>
        <xdr:cNvPr id="492" name="nuNumber: 506" hidden="1">
          <a:extLst>
            <a:ext uri="{FF2B5EF4-FFF2-40B4-BE49-F238E27FC236}">
              <a16:creationId xmlns:a16="http://schemas.microsoft.com/office/drawing/2014/main" id="{5992D530-EE94-4B7B-A81F-4A819824A820}"/>
            </a:ext>
          </a:extLst>
        </xdr:cNvPr>
        <xdr:cNvSpPr/>
      </xdr:nvSpPr>
      <xdr:spPr bwMode="auto">
        <a:xfrm>
          <a:off x="8105775" y="191312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90</xdr:row>
      <xdr:rowOff>119379</xdr:rowOff>
    </xdr:from>
    <xdr:to>
      <xdr:col>12</xdr:col>
      <xdr:colOff>63500</xdr:colOff>
      <xdr:row>90</xdr:row>
      <xdr:rowOff>182879</xdr:rowOff>
    </xdr:to>
    <xdr:sp macro="" textlink="">
      <xdr:nvSpPr>
        <xdr:cNvPr id="493" name="nuNumber: 507" hidden="1">
          <a:extLst>
            <a:ext uri="{FF2B5EF4-FFF2-40B4-BE49-F238E27FC236}">
              <a16:creationId xmlns:a16="http://schemas.microsoft.com/office/drawing/2014/main" id="{D1DBAC98-3DC5-4CB4-BC32-B00C0AB509FA}"/>
            </a:ext>
          </a:extLst>
        </xdr:cNvPr>
        <xdr:cNvSpPr/>
      </xdr:nvSpPr>
      <xdr:spPr bwMode="auto">
        <a:xfrm>
          <a:off x="8972550" y="191312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90</xdr:row>
      <xdr:rowOff>119379</xdr:rowOff>
    </xdr:from>
    <xdr:to>
      <xdr:col>13</xdr:col>
      <xdr:colOff>63500</xdr:colOff>
      <xdr:row>90</xdr:row>
      <xdr:rowOff>182879</xdr:rowOff>
    </xdr:to>
    <xdr:sp macro="" textlink="">
      <xdr:nvSpPr>
        <xdr:cNvPr id="494" name="nuNumber: 508" hidden="1">
          <a:extLst>
            <a:ext uri="{FF2B5EF4-FFF2-40B4-BE49-F238E27FC236}">
              <a16:creationId xmlns:a16="http://schemas.microsoft.com/office/drawing/2014/main" id="{F14138E1-64F5-4443-B6DB-8D8033C14CC3}"/>
            </a:ext>
          </a:extLst>
        </xdr:cNvPr>
        <xdr:cNvSpPr/>
      </xdr:nvSpPr>
      <xdr:spPr bwMode="auto">
        <a:xfrm>
          <a:off x="9753600" y="191312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90</xdr:row>
      <xdr:rowOff>119379</xdr:rowOff>
    </xdr:from>
    <xdr:to>
      <xdr:col>14</xdr:col>
      <xdr:colOff>63500</xdr:colOff>
      <xdr:row>90</xdr:row>
      <xdr:rowOff>182879</xdr:rowOff>
    </xdr:to>
    <xdr:sp macro="" textlink="">
      <xdr:nvSpPr>
        <xdr:cNvPr id="495" name="nuNumber: 509" hidden="1">
          <a:extLst>
            <a:ext uri="{FF2B5EF4-FFF2-40B4-BE49-F238E27FC236}">
              <a16:creationId xmlns:a16="http://schemas.microsoft.com/office/drawing/2014/main" id="{43362D68-BBFE-4739-B0AB-A8CD61A5C438}"/>
            </a:ext>
          </a:extLst>
        </xdr:cNvPr>
        <xdr:cNvSpPr/>
      </xdr:nvSpPr>
      <xdr:spPr bwMode="auto">
        <a:xfrm>
          <a:off x="10515600" y="191312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90</xdr:row>
      <xdr:rowOff>119379</xdr:rowOff>
    </xdr:from>
    <xdr:to>
      <xdr:col>15</xdr:col>
      <xdr:colOff>63500</xdr:colOff>
      <xdr:row>90</xdr:row>
      <xdr:rowOff>182879</xdr:rowOff>
    </xdr:to>
    <xdr:sp macro="" textlink="">
      <xdr:nvSpPr>
        <xdr:cNvPr id="496" name="nuNumber: 510" hidden="1">
          <a:extLst>
            <a:ext uri="{FF2B5EF4-FFF2-40B4-BE49-F238E27FC236}">
              <a16:creationId xmlns:a16="http://schemas.microsoft.com/office/drawing/2014/main" id="{9579610E-857C-4243-BDA4-6F4B2DE142F8}"/>
            </a:ext>
          </a:extLst>
        </xdr:cNvPr>
        <xdr:cNvSpPr/>
      </xdr:nvSpPr>
      <xdr:spPr bwMode="auto">
        <a:xfrm>
          <a:off x="11325225" y="191312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90</xdr:row>
      <xdr:rowOff>119379</xdr:rowOff>
    </xdr:from>
    <xdr:to>
      <xdr:col>16</xdr:col>
      <xdr:colOff>63500</xdr:colOff>
      <xdr:row>90</xdr:row>
      <xdr:rowOff>182879</xdr:rowOff>
    </xdr:to>
    <xdr:sp macro="" textlink="">
      <xdr:nvSpPr>
        <xdr:cNvPr id="497" name="nuNumber: 511" hidden="1">
          <a:extLst>
            <a:ext uri="{FF2B5EF4-FFF2-40B4-BE49-F238E27FC236}">
              <a16:creationId xmlns:a16="http://schemas.microsoft.com/office/drawing/2014/main" id="{73592879-30D2-47BC-BB6D-343EAFE0805B}"/>
            </a:ext>
          </a:extLst>
        </xdr:cNvPr>
        <xdr:cNvSpPr/>
      </xdr:nvSpPr>
      <xdr:spPr bwMode="auto">
        <a:xfrm>
          <a:off x="12106275" y="191312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90</xdr:row>
      <xdr:rowOff>119379</xdr:rowOff>
    </xdr:from>
    <xdr:to>
      <xdr:col>17</xdr:col>
      <xdr:colOff>63500</xdr:colOff>
      <xdr:row>90</xdr:row>
      <xdr:rowOff>182879</xdr:rowOff>
    </xdr:to>
    <xdr:sp macro="" textlink="">
      <xdr:nvSpPr>
        <xdr:cNvPr id="498" name="nuNumber: 512" hidden="1">
          <a:extLst>
            <a:ext uri="{FF2B5EF4-FFF2-40B4-BE49-F238E27FC236}">
              <a16:creationId xmlns:a16="http://schemas.microsoft.com/office/drawing/2014/main" id="{333CC1DD-EB74-4F3A-93B6-AC1CC12F197B}"/>
            </a:ext>
          </a:extLst>
        </xdr:cNvPr>
        <xdr:cNvSpPr/>
      </xdr:nvSpPr>
      <xdr:spPr bwMode="auto">
        <a:xfrm>
          <a:off x="12887325" y="191312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90</xdr:row>
      <xdr:rowOff>119379</xdr:rowOff>
    </xdr:from>
    <xdr:to>
      <xdr:col>18</xdr:col>
      <xdr:colOff>63499</xdr:colOff>
      <xdr:row>90</xdr:row>
      <xdr:rowOff>182879</xdr:rowOff>
    </xdr:to>
    <xdr:sp macro="" textlink="">
      <xdr:nvSpPr>
        <xdr:cNvPr id="499" name="nuNumber: 513" hidden="1">
          <a:extLst>
            <a:ext uri="{FF2B5EF4-FFF2-40B4-BE49-F238E27FC236}">
              <a16:creationId xmlns:a16="http://schemas.microsoft.com/office/drawing/2014/main" id="{C71524A9-4D2A-417C-8278-6CE2F40014BF}"/>
            </a:ext>
          </a:extLst>
        </xdr:cNvPr>
        <xdr:cNvSpPr/>
      </xdr:nvSpPr>
      <xdr:spPr bwMode="auto">
        <a:xfrm>
          <a:off x="13624559" y="19131279"/>
          <a:ext cx="5969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90</xdr:row>
      <xdr:rowOff>119379</xdr:rowOff>
    </xdr:from>
    <xdr:to>
      <xdr:col>19</xdr:col>
      <xdr:colOff>63500</xdr:colOff>
      <xdr:row>90</xdr:row>
      <xdr:rowOff>182879</xdr:rowOff>
    </xdr:to>
    <xdr:sp macro="" textlink="">
      <xdr:nvSpPr>
        <xdr:cNvPr id="500" name="nuNumber: 514" hidden="1">
          <a:extLst>
            <a:ext uri="{FF2B5EF4-FFF2-40B4-BE49-F238E27FC236}">
              <a16:creationId xmlns:a16="http://schemas.microsoft.com/office/drawing/2014/main" id="{A1128038-1410-44B0-A558-9B030FC53400}"/>
            </a:ext>
          </a:extLst>
        </xdr:cNvPr>
        <xdr:cNvSpPr/>
      </xdr:nvSpPr>
      <xdr:spPr bwMode="auto">
        <a:xfrm>
          <a:off x="14382750" y="191312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90</xdr:row>
      <xdr:rowOff>119379</xdr:rowOff>
    </xdr:from>
    <xdr:to>
      <xdr:col>20</xdr:col>
      <xdr:colOff>63500</xdr:colOff>
      <xdr:row>90</xdr:row>
      <xdr:rowOff>182879</xdr:rowOff>
    </xdr:to>
    <xdr:sp macro="" textlink="">
      <xdr:nvSpPr>
        <xdr:cNvPr id="501" name="nuNumber: 515" hidden="1">
          <a:extLst>
            <a:ext uri="{FF2B5EF4-FFF2-40B4-BE49-F238E27FC236}">
              <a16:creationId xmlns:a16="http://schemas.microsoft.com/office/drawing/2014/main" id="{7CD87672-25A8-420D-87B4-EB4C27E23BED}"/>
            </a:ext>
          </a:extLst>
        </xdr:cNvPr>
        <xdr:cNvSpPr/>
      </xdr:nvSpPr>
      <xdr:spPr bwMode="auto">
        <a:xfrm>
          <a:off x="15135225" y="191312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90</xdr:row>
      <xdr:rowOff>119379</xdr:rowOff>
    </xdr:from>
    <xdr:to>
      <xdr:col>21</xdr:col>
      <xdr:colOff>63500</xdr:colOff>
      <xdr:row>90</xdr:row>
      <xdr:rowOff>182879</xdr:rowOff>
    </xdr:to>
    <xdr:sp macro="" textlink="">
      <xdr:nvSpPr>
        <xdr:cNvPr id="502" name="nuNumber: 516" hidden="1">
          <a:extLst>
            <a:ext uri="{FF2B5EF4-FFF2-40B4-BE49-F238E27FC236}">
              <a16:creationId xmlns:a16="http://schemas.microsoft.com/office/drawing/2014/main" id="{F4C19256-47BD-4F32-AD45-4247B95BEE95}"/>
            </a:ext>
          </a:extLst>
        </xdr:cNvPr>
        <xdr:cNvSpPr/>
      </xdr:nvSpPr>
      <xdr:spPr bwMode="auto">
        <a:xfrm>
          <a:off x="15849600" y="191312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91</xdr:row>
      <xdr:rowOff>119380</xdr:rowOff>
    </xdr:from>
    <xdr:to>
      <xdr:col>8</xdr:col>
      <xdr:colOff>63500</xdr:colOff>
      <xdr:row>92</xdr:row>
      <xdr:rowOff>0</xdr:rowOff>
    </xdr:to>
    <xdr:sp macro="" textlink="">
      <xdr:nvSpPr>
        <xdr:cNvPr id="503" name="nuNumber: 517" hidden="1">
          <a:extLst>
            <a:ext uri="{FF2B5EF4-FFF2-40B4-BE49-F238E27FC236}">
              <a16:creationId xmlns:a16="http://schemas.microsoft.com/office/drawing/2014/main" id="{9E13DD2E-050E-49B7-AC88-C255A2ED2800}"/>
            </a:ext>
          </a:extLst>
        </xdr:cNvPr>
        <xdr:cNvSpPr/>
      </xdr:nvSpPr>
      <xdr:spPr bwMode="auto">
        <a:xfrm>
          <a:off x="5562600" y="19340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91</xdr:row>
      <xdr:rowOff>119380</xdr:rowOff>
    </xdr:from>
    <xdr:to>
      <xdr:col>9</xdr:col>
      <xdr:colOff>63500</xdr:colOff>
      <xdr:row>92</xdr:row>
      <xdr:rowOff>0</xdr:rowOff>
    </xdr:to>
    <xdr:sp macro="" textlink="">
      <xdr:nvSpPr>
        <xdr:cNvPr id="504" name="nuNumber: 518" hidden="1">
          <a:extLst>
            <a:ext uri="{FF2B5EF4-FFF2-40B4-BE49-F238E27FC236}">
              <a16:creationId xmlns:a16="http://schemas.microsoft.com/office/drawing/2014/main" id="{1404F01D-A6E4-4C71-95EA-63908262DD87}"/>
            </a:ext>
          </a:extLst>
        </xdr:cNvPr>
        <xdr:cNvSpPr/>
      </xdr:nvSpPr>
      <xdr:spPr bwMode="auto">
        <a:xfrm>
          <a:off x="6467475" y="19340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91</xdr:row>
      <xdr:rowOff>119380</xdr:rowOff>
    </xdr:from>
    <xdr:to>
      <xdr:col>9</xdr:col>
      <xdr:colOff>63500</xdr:colOff>
      <xdr:row>92</xdr:row>
      <xdr:rowOff>0</xdr:rowOff>
    </xdr:to>
    <xdr:sp macro="" textlink="">
      <xdr:nvSpPr>
        <xdr:cNvPr id="505" name="nuNumber: 519" hidden="1">
          <a:extLst>
            <a:ext uri="{FF2B5EF4-FFF2-40B4-BE49-F238E27FC236}">
              <a16:creationId xmlns:a16="http://schemas.microsoft.com/office/drawing/2014/main" id="{7870E00D-4FAE-4590-9EC4-2458C92776C8}"/>
            </a:ext>
          </a:extLst>
        </xdr:cNvPr>
        <xdr:cNvSpPr/>
      </xdr:nvSpPr>
      <xdr:spPr bwMode="auto">
        <a:xfrm>
          <a:off x="6467475" y="19340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91</xdr:row>
      <xdr:rowOff>119380</xdr:rowOff>
    </xdr:from>
    <xdr:to>
      <xdr:col>10</xdr:col>
      <xdr:colOff>63500</xdr:colOff>
      <xdr:row>92</xdr:row>
      <xdr:rowOff>0</xdr:rowOff>
    </xdr:to>
    <xdr:sp macro="" textlink="">
      <xdr:nvSpPr>
        <xdr:cNvPr id="506" name="nuNumber: 520" hidden="1">
          <a:extLst>
            <a:ext uri="{FF2B5EF4-FFF2-40B4-BE49-F238E27FC236}">
              <a16:creationId xmlns:a16="http://schemas.microsoft.com/office/drawing/2014/main" id="{DDE80966-0989-4EC5-BCEE-40918BEFA57C}"/>
            </a:ext>
          </a:extLst>
        </xdr:cNvPr>
        <xdr:cNvSpPr/>
      </xdr:nvSpPr>
      <xdr:spPr bwMode="auto">
        <a:xfrm>
          <a:off x="7315200" y="19340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91</xdr:row>
      <xdr:rowOff>119380</xdr:rowOff>
    </xdr:from>
    <xdr:to>
      <xdr:col>11</xdr:col>
      <xdr:colOff>63500</xdr:colOff>
      <xdr:row>92</xdr:row>
      <xdr:rowOff>0</xdr:rowOff>
    </xdr:to>
    <xdr:sp macro="" textlink="">
      <xdr:nvSpPr>
        <xdr:cNvPr id="507" name="nuNumber: 521" hidden="1">
          <a:extLst>
            <a:ext uri="{FF2B5EF4-FFF2-40B4-BE49-F238E27FC236}">
              <a16:creationId xmlns:a16="http://schemas.microsoft.com/office/drawing/2014/main" id="{A7BC72DB-2E60-43C3-B242-2893A5B04D01}"/>
            </a:ext>
          </a:extLst>
        </xdr:cNvPr>
        <xdr:cNvSpPr/>
      </xdr:nvSpPr>
      <xdr:spPr bwMode="auto">
        <a:xfrm>
          <a:off x="8105775" y="19340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91</xdr:row>
      <xdr:rowOff>119380</xdr:rowOff>
    </xdr:from>
    <xdr:to>
      <xdr:col>12</xdr:col>
      <xdr:colOff>63500</xdr:colOff>
      <xdr:row>92</xdr:row>
      <xdr:rowOff>0</xdr:rowOff>
    </xdr:to>
    <xdr:sp macro="" textlink="">
      <xdr:nvSpPr>
        <xdr:cNvPr id="508" name="nuNumber: 522" hidden="1">
          <a:extLst>
            <a:ext uri="{FF2B5EF4-FFF2-40B4-BE49-F238E27FC236}">
              <a16:creationId xmlns:a16="http://schemas.microsoft.com/office/drawing/2014/main" id="{A300F502-25FA-43AE-A2B5-47DA0E128194}"/>
            </a:ext>
          </a:extLst>
        </xdr:cNvPr>
        <xdr:cNvSpPr/>
      </xdr:nvSpPr>
      <xdr:spPr bwMode="auto">
        <a:xfrm>
          <a:off x="8972550" y="19340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91</xdr:row>
      <xdr:rowOff>119380</xdr:rowOff>
    </xdr:from>
    <xdr:to>
      <xdr:col>13</xdr:col>
      <xdr:colOff>63500</xdr:colOff>
      <xdr:row>92</xdr:row>
      <xdr:rowOff>0</xdr:rowOff>
    </xdr:to>
    <xdr:sp macro="" textlink="">
      <xdr:nvSpPr>
        <xdr:cNvPr id="509" name="nuNumber: 523" hidden="1">
          <a:extLst>
            <a:ext uri="{FF2B5EF4-FFF2-40B4-BE49-F238E27FC236}">
              <a16:creationId xmlns:a16="http://schemas.microsoft.com/office/drawing/2014/main" id="{87FFF0A2-F1CA-4BF5-80CC-991FAA593732}"/>
            </a:ext>
          </a:extLst>
        </xdr:cNvPr>
        <xdr:cNvSpPr/>
      </xdr:nvSpPr>
      <xdr:spPr bwMode="auto">
        <a:xfrm>
          <a:off x="9753600" y="19340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91</xdr:row>
      <xdr:rowOff>119380</xdr:rowOff>
    </xdr:from>
    <xdr:to>
      <xdr:col>14</xdr:col>
      <xdr:colOff>63500</xdr:colOff>
      <xdr:row>92</xdr:row>
      <xdr:rowOff>0</xdr:rowOff>
    </xdr:to>
    <xdr:sp macro="" textlink="">
      <xdr:nvSpPr>
        <xdr:cNvPr id="510" name="nuNumber: 524" hidden="1">
          <a:extLst>
            <a:ext uri="{FF2B5EF4-FFF2-40B4-BE49-F238E27FC236}">
              <a16:creationId xmlns:a16="http://schemas.microsoft.com/office/drawing/2014/main" id="{B2C0C309-A6EF-4BD9-8A07-B661497877D4}"/>
            </a:ext>
          </a:extLst>
        </xdr:cNvPr>
        <xdr:cNvSpPr/>
      </xdr:nvSpPr>
      <xdr:spPr bwMode="auto">
        <a:xfrm>
          <a:off x="10515600" y="19340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91</xdr:row>
      <xdr:rowOff>119380</xdr:rowOff>
    </xdr:from>
    <xdr:to>
      <xdr:col>15</xdr:col>
      <xdr:colOff>63500</xdr:colOff>
      <xdr:row>92</xdr:row>
      <xdr:rowOff>0</xdr:rowOff>
    </xdr:to>
    <xdr:sp macro="" textlink="">
      <xdr:nvSpPr>
        <xdr:cNvPr id="511" name="nuNumber: 525" hidden="1">
          <a:extLst>
            <a:ext uri="{FF2B5EF4-FFF2-40B4-BE49-F238E27FC236}">
              <a16:creationId xmlns:a16="http://schemas.microsoft.com/office/drawing/2014/main" id="{D8AF831C-06FF-48E4-8B8E-21A56CA01210}"/>
            </a:ext>
          </a:extLst>
        </xdr:cNvPr>
        <xdr:cNvSpPr/>
      </xdr:nvSpPr>
      <xdr:spPr bwMode="auto">
        <a:xfrm>
          <a:off x="11325225" y="19340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91</xdr:row>
      <xdr:rowOff>119380</xdr:rowOff>
    </xdr:from>
    <xdr:to>
      <xdr:col>16</xdr:col>
      <xdr:colOff>63500</xdr:colOff>
      <xdr:row>92</xdr:row>
      <xdr:rowOff>0</xdr:rowOff>
    </xdr:to>
    <xdr:sp macro="" textlink="">
      <xdr:nvSpPr>
        <xdr:cNvPr id="512" name="nuNumber: 526" hidden="1">
          <a:extLst>
            <a:ext uri="{FF2B5EF4-FFF2-40B4-BE49-F238E27FC236}">
              <a16:creationId xmlns:a16="http://schemas.microsoft.com/office/drawing/2014/main" id="{DF0EBA8C-A2CB-46A7-AD8F-FB8C8CA04AF0}"/>
            </a:ext>
          </a:extLst>
        </xdr:cNvPr>
        <xdr:cNvSpPr/>
      </xdr:nvSpPr>
      <xdr:spPr bwMode="auto">
        <a:xfrm>
          <a:off x="12106275" y="19340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91</xdr:row>
      <xdr:rowOff>119380</xdr:rowOff>
    </xdr:from>
    <xdr:to>
      <xdr:col>17</xdr:col>
      <xdr:colOff>63500</xdr:colOff>
      <xdr:row>92</xdr:row>
      <xdr:rowOff>0</xdr:rowOff>
    </xdr:to>
    <xdr:sp macro="" textlink="">
      <xdr:nvSpPr>
        <xdr:cNvPr id="513" name="nuNumber: 527" hidden="1">
          <a:extLst>
            <a:ext uri="{FF2B5EF4-FFF2-40B4-BE49-F238E27FC236}">
              <a16:creationId xmlns:a16="http://schemas.microsoft.com/office/drawing/2014/main" id="{6FBCCBB0-FBE3-4243-9C09-86480230113B}"/>
            </a:ext>
          </a:extLst>
        </xdr:cNvPr>
        <xdr:cNvSpPr/>
      </xdr:nvSpPr>
      <xdr:spPr bwMode="auto">
        <a:xfrm>
          <a:off x="12887325" y="19340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91</xdr:row>
      <xdr:rowOff>119380</xdr:rowOff>
    </xdr:from>
    <xdr:to>
      <xdr:col>18</xdr:col>
      <xdr:colOff>63499</xdr:colOff>
      <xdr:row>92</xdr:row>
      <xdr:rowOff>0</xdr:rowOff>
    </xdr:to>
    <xdr:sp macro="" textlink="">
      <xdr:nvSpPr>
        <xdr:cNvPr id="514" name="nuNumber: 528" hidden="1">
          <a:extLst>
            <a:ext uri="{FF2B5EF4-FFF2-40B4-BE49-F238E27FC236}">
              <a16:creationId xmlns:a16="http://schemas.microsoft.com/office/drawing/2014/main" id="{9AD66969-3402-45F5-80D7-435D08C031B7}"/>
            </a:ext>
          </a:extLst>
        </xdr:cNvPr>
        <xdr:cNvSpPr/>
      </xdr:nvSpPr>
      <xdr:spPr bwMode="auto">
        <a:xfrm>
          <a:off x="13624559" y="1934083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91</xdr:row>
      <xdr:rowOff>119380</xdr:rowOff>
    </xdr:from>
    <xdr:to>
      <xdr:col>19</xdr:col>
      <xdr:colOff>63500</xdr:colOff>
      <xdr:row>92</xdr:row>
      <xdr:rowOff>0</xdr:rowOff>
    </xdr:to>
    <xdr:sp macro="" textlink="">
      <xdr:nvSpPr>
        <xdr:cNvPr id="515" name="nuNumber: 529" hidden="1">
          <a:extLst>
            <a:ext uri="{FF2B5EF4-FFF2-40B4-BE49-F238E27FC236}">
              <a16:creationId xmlns:a16="http://schemas.microsoft.com/office/drawing/2014/main" id="{D39A9E3B-8BC1-4ED1-B2A9-808510FE57CF}"/>
            </a:ext>
          </a:extLst>
        </xdr:cNvPr>
        <xdr:cNvSpPr/>
      </xdr:nvSpPr>
      <xdr:spPr bwMode="auto">
        <a:xfrm>
          <a:off x="14382750" y="19340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91</xdr:row>
      <xdr:rowOff>119380</xdr:rowOff>
    </xdr:from>
    <xdr:to>
      <xdr:col>20</xdr:col>
      <xdr:colOff>63500</xdr:colOff>
      <xdr:row>92</xdr:row>
      <xdr:rowOff>0</xdr:rowOff>
    </xdr:to>
    <xdr:sp macro="" textlink="">
      <xdr:nvSpPr>
        <xdr:cNvPr id="516" name="nuNumber: 530" hidden="1">
          <a:extLst>
            <a:ext uri="{FF2B5EF4-FFF2-40B4-BE49-F238E27FC236}">
              <a16:creationId xmlns:a16="http://schemas.microsoft.com/office/drawing/2014/main" id="{BC0BE050-BACE-4FE4-83E7-EA447531CD63}"/>
            </a:ext>
          </a:extLst>
        </xdr:cNvPr>
        <xdr:cNvSpPr/>
      </xdr:nvSpPr>
      <xdr:spPr bwMode="auto">
        <a:xfrm>
          <a:off x="15135225" y="19340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91</xdr:row>
      <xdr:rowOff>119380</xdr:rowOff>
    </xdr:from>
    <xdr:to>
      <xdr:col>21</xdr:col>
      <xdr:colOff>63500</xdr:colOff>
      <xdr:row>92</xdr:row>
      <xdr:rowOff>0</xdr:rowOff>
    </xdr:to>
    <xdr:sp macro="" textlink="">
      <xdr:nvSpPr>
        <xdr:cNvPr id="517" name="nuNumber: 531" hidden="1">
          <a:extLst>
            <a:ext uri="{FF2B5EF4-FFF2-40B4-BE49-F238E27FC236}">
              <a16:creationId xmlns:a16="http://schemas.microsoft.com/office/drawing/2014/main" id="{91E4F3C5-9AD5-4197-B583-E34D6ECA0FB3}"/>
            </a:ext>
          </a:extLst>
        </xdr:cNvPr>
        <xdr:cNvSpPr/>
      </xdr:nvSpPr>
      <xdr:spPr bwMode="auto">
        <a:xfrm>
          <a:off x="15849600" y="193408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92</xdr:row>
      <xdr:rowOff>119380</xdr:rowOff>
    </xdr:from>
    <xdr:to>
      <xdr:col>8</xdr:col>
      <xdr:colOff>63500</xdr:colOff>
      <xdr:row>93</xdr:row>
      <xdr:rowOff>0</xdr:rowOff>
    </xdr:to>
    <xdr:sp macro="" textlink="">
      <xdr:nvSpPr>
        <xdr:cNvPr id="518" name="nuNumber: 532" hidden="1">
          <a:extLst>
            <a:ext uri="{FF2B5EF4-FFF2-40B4-BE49-F238E27FC236}">
              <a16:creationId xmlns:a16="http://schemas.microsoft.com/office/drawing/2014/main" id="{2E2EA357-7F4D-4F40-B73B-E3366C070EE0}"/>
            </a:ext>
          </a:extLst>
        </xdr:cNvPr>
        <xdr:cNvSpPr/>
      </xdr:nvSpPr>
      <xdr:spPr bwMode="auto">
        <a:xfrm>
          <a:off x="5562600" y="19550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92</xdr:row>
      <xdr:rowOff>119380</xdr:rowOff>
    </xdr:from>
    <xdr:to>
      <xdr:col>9</xdr:col>
      <xdr:colOff>63500</xdr:colOff>
      <xdr:row>93</xdr:row>
      <xdr:rowOff>0</xdr:rowOff>
    </xdr:to>
    <xdr:sp macro="" textlink="">
      <xdr:nvSpPr>
        <xdr:cNvPr id="519" name="nuNumber: 533" hidden="1">
          <a:extLst>
            <a:ext uri="{FF2B5EF4-FFF2-40B4-BE49-F238E27FC236}">
              <a16:creationId xmlns:a16="http://schemas.microsoft.com/office/drawing/2014/main" id="{91096045-7045-42A9-8006-C447DD448B7E}"/>
            </a:ext>
          </a:extLst>
        </xdr:cNvPr>
        <xdr:cNvSpPr/>
      </xdr:nvSpPr>
      <xdr:spPr bwMode="auto">
        <a:xfrm>
          <a:off x="6467475" y="19550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92</xdr:row>
      <xdr:rowOff>119380</xdr:rowOff>
    </xdr:from>
    <xdr:to>
      <xdr:col>10</xdr:col>
      <xdr:colOff>63500</xdr:colOff>
      <xdr:row>93</xdr:row>
      <xdr:rowOff>0</xdr:rowOff>
    </xdr:to>
    <xdr:sp macro="" textlink="">
      <xdr:nvSpPr>
        <xdr:cNvPr id="520" name="nuNumber: 534" hidden="1">
          <a:extLst>
            <a:ext uri="{FF2B5EF4-FFF2-40B4-BE49-F238E27FC236}">
              <a16:creationId xmlns:a16="http://schemas.microsoft.com/office/drawing/2014/main" id="{3CB0B6A2-CE5A-4B84-89E0-26F29CB4E1AE}"/>
            </a:ext>
          </a:extLst>
        </xdr:cNvPr>
        <xdr:cNvSpPr/>
      </xdr:nvSpPr>
      <xdr:spPr bwMode="auto">
        <a:xfrm>
          <a:off x="7315200" y="19550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92</xdr:row>
      <xdr:rowOff>119380</xdr:rowOff>
    </xdr:from>
    <xdr:to>
      <xdr:col>11</xdr:col>
      <xdr:colOff>63500</xdr:colOff>
      <xdr:row>93</xdr:row>
      <xdr:rowOff>0</xdr:rowOff>
    </xdr:to>
    <xdr:sp macro="" textlink="">
      <xdr:nvSpPr>
        <xdr:cNvPr id="521" name="nuNumber: 535" hidden="1">
          <a:extLst>
            <a:ext uri="{FF2B5EF4-FFF2-40B4-BE49-F238E27FC236}">
              <a16:creationId xmlns:a16="http://schemas.microsoft.com/office/drawing/2014/main" id="{5068765A-3F23-47DD-8253-55923FF1E895}"/>
            </a:ext>
          </a:extLst>
        </xdr:cNvPr>
        <xdr:cNvSpPr/>
      </xdr:nvSpPr>
      <xdr:spPr bwMode="auto">
        <a:xfrm>
          <a:off x="8105775" y="19550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92</xdr:row>
      <xdr:rowOff>119380</xdr:rowOff>
    </xdr:from>
    <xdr:to>
      <xdr:col>12</xdr:col>
      <xdr:colOff>63500</xdr:colOff>
      <xdr:row>93</xdr:row>
      <xdr:rowOff>0</xdr:rowOff>
    </xdr:to>
    <xdr:sp macro="" textlink="">
      <xdr:nvSpPr>
        <xdr:cNvPr id="522" name="nuNumber: 536" hidden="1">
          <a:extLst>
            <a:ext uri="{FF2B5EF4-FFF2-40B4-BE49-F238E27FC236}">
              <a16:creationId xmlns:a16="http://schemas.microsoft.com/office/drawing/2014/main" id="{77AB6B47-5D53-4540-8EB2-0E22677D11B5}"/>
            </a:ext>
          </a:extLst>
        </xdr:cNvPr>
        <xdr:cNvSpPr/>
      </xdr:nvSpPr>
      <xdr:spPr bwMode="auto">
        <a:xfrm>
          <a:off x="8972550" y="19550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92</xdr:row>
      <xdr:rowOff>119380</xdr:rowOff>
    </xdr:from>
    <xdr:to>
      <xdr:col>13</xdr:col>
      <xdr:colOff>63500</xdr:colOff>
      <xdr:row>93</xdr:row>
      <xdr:rowOff>0</xdr:rowOff>
    </xdr:to>
    <xdr:sp macro="" textlink="">
      <xdr:nvSpPr>
        <xdr:cNvPr id="523" name="nuNumber: 537" hidden="1">
          <a:extLst>
            <a:ext uri="{FF2B5EF4-FFF2-40B4-BE49-F238E27FC236}">
              <a16:creationId xmlns:a16="http://schemas.microsoft.com/office/drawing/2014/main" id="{B2E7F835-F0A1-4E72-8810-479C6B68607A}"/>
            </a:ext>
          </a:extLst>
        </xdr:cNvPr>
        <xdr:cNvSpPr/>
      </xdr:nvSpPr>
      <xdr:spPr bwMode="auto">
        <a:xfrm>
          <a:off x="9753600" y="19550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92</xdr:row>
      <xdr:rowOff>119380</xdr:rowOff>
    </xdr:from>
    <xdr:to>
      <xdr:col>14</xdr:col>
      <xdr:colOff>63500</xdr:colOff>
      <xdr:row>93</xdr:row>
      <xdr:rowOff>0</xdr:rowOff>
    </xdr:to>
    <xdr:sp macro="" textlink="">
      <xdr:nvSpPr>
        <xdr:cNvPr id="524" name="nuNumber: 538" hidden="1">
          <a:extLst>
            <a:ext uri="{FF2B5EF4-FFF2-40B4-BE49-F238E27FC236}">
              <a16:creationId xmlns:a16="http://schemas.microsoft.com/office/drawing/2014/main" id="{660D99E5-F1F5-4CCE-A3DF-939FF4F3E401}"/>
            </a:ext>
          </a:extLst>
        </xdr:cNvPr>
        <xdr:cNvSpPr/>
      </xdr:nvSpPr>
      <xdr:spPr bwMode="auto">
        <a:xfrm>
          <a:off x="10515600" y="19550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92</xdr:row>
      <xdr:rowOff>119380</xdr:rowOff>
    </xdr:from>
    <xdr:to>
      <xdr:col>15</xdr:col>
      <xdr:colOff>63500</xdr:colOff>
      <xdr:row>93</xdr:row>
      <xdr:rowOff>0</xdr:rowOff>
    </xdr:to>
    <xdr:sp macro="" textlink="">
      <xdr:nvSpPr>
        <xdr:cNvPr id="525" name="nuNumber: 539" hidden="1">
          <a:extLst>
            <a:ext uri="{FF2B5EF4-FFF2-40B4-BE49-F238E27FC236}">
              <a16:creationId xmlns:a16="http://schemas.microsoft.com/office/drawing/2014/main" id="{7D0B1FFF-FA3E-47DB-8C20-F624245642C4}"/>
            </a:ext>
          </a:extLst>
        </xdr:cNvPr>
        <xdr:cNvSpPr/>
      </xdr:nvSpPr>
      <xdr:spPr bwMode="auto">
        <a:xfrm>
          <a:off x="11325225" y="19550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92</xdr:row>
      <xdr:rowOff>119380</xdr:rowOff>
    </xdr:from>
    <xdr:to>
      <xdr:col>16</xdr:col>
      <xdr:colOff>63500</xdr:colOff>
      <xdr:row>93</xdr:row>
      <xdr:rowOff>0</xdr:rowOff>
    </xdr:to>
    <xdr:sp macro="" textlink="">
      <xdr:nvSpPr>
        <xdr:cNvPr id="526" name="nuNumber: 540" hidden="1">
          <a:extLst>
            <a:ext uri="{FF2B5EF4-FFF2-40B4-BE49-F238E27FC236}">
              <a16:creationId xmlns:a16="http://schemas.microsoft.com/office/drawing/2014/main" id="{F9E93853-E6C8-4B45-B132-01DA6D78834C}"/>
            </a:ext>
          </a:extLst>
        </xdr:cNvPr>
        <xdr:cNvSpPr/>
      </xdr:nvSpPr>
      <xdr:spPr bwMode="auto">
        <a:xfrm>
          <a:off x="12106275" y="19550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92</xdr:row>
      <xdr:rowOff>119380</xdr:rowOff>
    </xdr:from>
    <xdr:to>
      <xdr:col>17</xdr:col>
      <xdr:colOff>63500</xdr:colOff>
      <xdr:row>93</xdr:row>
      <xdr:rowOff>0</xdr:rowOff>
    </xdr:to>
    <xdr:sp macro="" textlink="">
      <xdr:nvSpPr>
        <xdr:cNvPr id="527" name="nuNumber: 541" hidden="1">
          <a:extLst>
            <a:ext uri="{FF2B5EF4-FFF2-40B4-BE49-F238E27FC236}">
              <a16:creationId xmlns:a16="http://schemas.microsoft.com/office/drawing/2014/main" id="{E1986DBB-4BE3-4B10-8909-39A3804E612E}"/>
            </a:ext>
          </a:extLst>
        </xdr:cNvPr>
        <xdr:cNvSpPr/>
      </xdr:nvSpPr>
      <xdr:spPr bwMode="auto">
        <a:xfrm>
          <a:off x="12887325" y="19550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92</xdr:row>
      <xdr:rowOff>119380</xdr:rowOff>
    </xdr:from>
    <xdr:to>
      <xdr:col>18</xdr:col>
      <xdr:colOff>63499</xdr:colOff>
      <xdr:row>93</xdr:row>
      <xdr:rowOff>0</xdr:rowOff>
    </xdr:to>
    <xdr:sp macro="" textlink="">
      <xdr:nvSpPr>
        <xdr:cNvPr id="528" name="nuNumber: 542" hidden="1">
          <a:extLst>
            <a:ext uri="{FF2B5EF4-FFF2-40B4-BE49-F238E27FC236}">
              <a16:creationId xmlns:a16="http://schemas.microsoft.com/office/drawing/2014/main" id="{3FC66418-C19A-4F6A-B629-EB1AB7963F96}"/>
            </a:ext>
          </a:extLst>
        </xdr:cNvPr>
        <xdr:cNvSpPr/>
      </xdr:nvSpPr>
      <xdr:spPr bwMode="auto">
        <a:xfrm>
          <a:off x="13624559" y="1955038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92</xdr:row>
      <xdr:rowOff>119380</xdr:rowOff>
    </xdr:from>
    <xdr:to>
      <xdr:col>19</xdr:col>
      <xdr:colOff>63500</xdr:colOff>
      <xdr:row>93</xdr:row>
      <xdr:rowOff>0</xdr:rowOff>
    </xdr:to>
    <xdr:sp macro="" textlink="">
      <xdr:nvSpPr>
        <xdr:cNvPr id="529" name="nuNumber: 543" hidden="1">
          <a:extLst>
            <a:ext uri="{FF2B5EF4-FFF2-40B4-BE49-F238E27FC236}">
              <a16:creationId xmlns:a16="http://schemas.microsoft.com/office/drawing/2014/main" id="{FB7C3C33-83B3-4A97-9147-0D55C5BC75BE}"/>
            </a:ext>
          </a:extLst>
        </xdr:cNvPr>
        <xdr:cNvSpPr/>
      </xdr:nvSpPr>
      <xdr:spPr bwMode="auto">
        <a:xfrm>
          <a:off x="14382750" y="19550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92</xdr:row>
      <xdr:rowOff>119380</xdr:rowOff>
    </xdr:from>
    <xdr:to>
      <xdr:col>20</xdr:col>
      <xdr:colOff>63500</xdr:colOff>
      <xdr:row>93</xdr:row>
      <xdr:rowOff>0</xdr:rowOff>
    </xdr:to>
    <xdr:sp macro="" textlink="">
      <xdr:nvSpPr>
        <xdr:cNvPr id="530" name="nuNumber: 544" hidden="1">
          <a:extLst>
            <a:ext uri="{FF2B5EF4-FFF2-40B4-BE49-F238E27FC236}">
              <a16:creationId xmlns:a16="http://schemas.microsoft.com/office/drawing/2014/main" id="{E3376AD3-F9F8-4A33-9215-F48D9ABD3A13}"/>
            </a:ext>
          </a:extLst>
        </xdr:cNvPr>
        <xdr:cNvSpPr/>
      </xdr:nvSpPr>
      <xdr:spPr bwMode="auto">
        <a:xfrm>
          <a:off x="15135225" y="19550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92</xdr:row>
      <xdr:rowOff>119380</xdr:rowOff>
    </xdr:from>
    <xdr:to>
      <xdr:col>21</xdr:col>
      <xdr:colOff>63500</xdr:colOff>
      <xdr:row>93</xdr:row>
      <xdr:rowOff>0</xdr:rowOff>
    </xdr:to>
    <xdr:sp macro="" textlink="">
      <xdr:nvSpPr>
        <xdr:cNvPr id="531" name="nuNumber: 545" hidden="1">
          <a:extLst>
            <a:ext uri="{FF2B5EF4-FFF2-40B4-BE49-F238E27FC236}">
              <a16:creationId xmlns:a16="http://schemas.microsoft.com/office/drawing/2014/main" id="{239336E9-8F91-4B06-88C2-6A9CA5F2BB06}"/>
            </a:ext>
          </a:extLst>
        </xdr:cNvPr>
        <xdr:cNvSpPr/>
      </xdr:nvSpPr>
      <xdr:spPr bwMode="auto">
        <a:xfrm>
          <a:off x="15849600" y="195503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93</xdr:row>
      <xdr:rowOff>119380</xdr:rowOff>
    </xdr:from>
    <xdr:to>
      <xdr:col>6</xdr:col>
      <xdr:colOff>63500</xdr:colOff>
      <xdr:row>94</xdr:row>
      <xdr:rowOff>0</xdr:rowOff>
    </xdr:to>
    <xdr:sp macro="" textlink="">
      <xdr:nvSpPr>
        <xdr:cNvPr id="532" name="nuNumber: 546" hidden="1">
          <a:extLst>
            <a:ext uri="{FF2B5EF4-FFF2-40B4-BE49-F238E27FC236}">
              <a16:creationId xmlns:a16="http://schemas.microsoft.com/office/drawing/2014/main" id="{5DCC4903-22E5-41A2-9FF2-DC8AD5CDA32B}"/>
            </a:ext>
          </a:extLst>
        </xdr:cNvPr>
        <xdr:cNvSpPr/>
      </xdr:nvSpPr>
      <xdr:spPr bwMode="auto">
        <a:xfrm>
          <a:off x="3800475" y="19759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93</xdr:row>
      <xdr:rowOff>119380</xdr:rowOff>
    </xdr:from>
    <xdr:to>
      <xdr:col>7</xdr:col>
      <xdr:colOff>63500</xdr:colOff>
      <xdr:row>94</xdr:row>
      <xdr:rowOff>0</xdr:rowOff>
    </xdr:to>
    <xdr:sp macro="" textlink="">
      <xdr:nvSpPr>
        <xdr:cNvPr id="533" name="nuNumber: 547" hidden="1">
          <a:extLst>
            <a:ext uri="{FF2B5EF4-FFF2-40B4-BE49-F238E27FC236}">
              <a16:creationId xmlns:a16="http://schemas.microsoft.com/office/drawing/2014/main" id="{20F05D0F-1667-44C8-A5E6-817146EAC4DE}"/>
            </a:ext>
          </a:extLst>
        </xdr:cNvPr>
        <xdr:cNvSpPr/>
      </xdr:nvSpPr>
      <xdr:spPr bwMode="auto">
        <a:xfrm>
          <a:off x="4676775" y="19759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93</xdr:row>
      <xdr:rowOff>119380</xdr:rowOff>
    </xdr:from>
    <xdr:to>
      <xdr:col>8</xdr:col>
      <xdr:colOff>63500</xdr:colOff>
      <xdr:row>94</xdr:row>
      <xdr:rowOff>0</xdr:rowOff>
    </xdr:to>
    <xdr:sp macro="" textlink="">
      <xdr:nvSpPr>
        <xdr:cNvPr id="534" name="nuNumber: 548" hidden="1">
          <a:extLst>
            <a:ext uri="{FF2B5EF4-FFF2-40B4-BE49-F238E27FC236}">
              <a16:creationId xmlns:a16="http://schemas.microsoft.com/office/drawing/2014/main" id="{2B600F81-C737-4141-8A96-32E9F5D37BFD}"/>
            </a:ext>
          </a:extLst>
        </xdr:cNvPr>
        <xdr:cNvSpPr/>
      </xdr:nvSpPr>
      <xdr:spPr bwMode="auto">
        <a:xfrm>
          <a:off x="5562600" y="19759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93</xdr:row>
      <xdr:rowOff>119380</xdr:rowOff>
    </xdr:from>
    <xdr:to>
      <xdr:col>9</xdr:col>
      <xdr:colOff>63500</xdr:colOff>
      <xdr:row>94</xdr:row>
      <xdr:rowOff>0</xdr:rowOff>
    </xdr:to>
    <xdr:sp macro="" textlink="">
      <xdr:nvSpPr>
        <xdr:cNvPr id="535" name="nuNumber: 549" hidden="1">
          <a:extLst>
            <a:ext uri="{FF2B5EF4-FFF2-40B4-BE49-F238E27FC236}">
              <a16:creationId xmlns:a16="http://schemas.microsoft.com/office/drawing/2014/main" id="{41A740AF-3AF9-4FE5-870F-D92597F83F69}"/>
            </a:ext>
          </a:extLst>
        </xdr:cNvPr>
        <xdr:cNvSpPr/>
      </xdr:nvSpPr>
      <xdr:spPr bwMode="auto">
        <a:xfrm>
          <a:off x="6467475" y="19759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93</xdr:row>
      <xdr:rowOff>119380</xdr:rowOff>
    </xdr:from>
    <xdr:to>
      <xdr:col>9</xdr:col>
      <xdr:colOff>63500</xdr:colOff>
      <xdr:row>94</xdr:row>
      <xdr:rowOff>0</xdr:rowOff>
    </xdr:to>
    <xdr:sp macro="" textlink="">
      <xdr:nvSpPr>
        <xdr:cNvPr id="536" name="nuNumber: 550" hidden="1">
          <a:extLst>
            <a:ext uri="{FF2B5EF4-FFF2-40B4-BE49-F238E27FC236}">
              <a16:creationId xmlns:a16="http://schemas.microsoft.com/office/drawing/2014/main" id="{E1048542-9328-4FDA-8C76-7CAD5FC8497A}"/>
            </a:ext>
          </a:extLst>
        </xdr:cNvPr>
        <xdr:cNvSpPr/>
      </xdr:nvSpPr>
      <xdr:spPr bwMode="auto">
        <a:xfrm>
          <a:off x="6467475" y="19759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93</xdr:row>
      <xdr:rowOff>119380</xdr:rowOff>
    </xdr:from>
    <xdr:to>
      <xdr:col>11</xdr:col>
      <xdr:colOff>63500</xdr:colOff>
      <xdr:row>94</xdr:row>
      <xdr:rowOff>0</xdr:rowOff>
    </xdr:to>
    <xdr:sp macro="" textlink="">
      <xdr:nvSpPr>
        <xdr:cNvPr id="537" name="nuNumber: 551" hidden="1">
          <a:extLst>
            <a:ext uri="{FF2B5EF4-FFF2-40B4-BE49-F238E27FC236}">
              <a16:creationId xmlns:a16="http://schemas.microsoft.com/office/drawing/2014/main" id="{E4A4419A-D28C-4B19-86C8-015D1EC0F6B6}"/>
            </a:ext>
          </a:extLst>
        </xdr:cNvPr>
        <xdr:cNvSpPr/>
      </xdr:nvSpPr>
      <xdr:spPr bwMode="auto">
        <a:xfrm>
          <a:off x="8105775" y="19759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93</xdr:row>
      <xdr:rowOff>119380</xdr:rowOff>
    </xdr:from>
    <xdr:to>
      <xdr:col>12</xdr:col>
      <xdr:colOff>63500</xdr:colOff>
      <xdr:row>94</xdr:row>
      <xdr:rowOff>0</xdr:rowOff>
    </xdr:to>
    <xdr:sp macro="" textlink="">
      <xdr:nvSpPr>
        <xdr:cNvPr id="538" name="nuNumber: 552" hidden="1">
          <a:extLst>
            <a:ext uri="{FF2B5EF4-FFF2-40B4-BE49-F238E27FC236}">
              <a16:creationId xmlns:a16="http://schemas.microsoft.com/office/drawing/2014/main" id="{6996744D-9B57-40DF-B30C-17457EA9306E}"/>
            </a:ext>
          </a:extLst>
        </xdr:cNvPr>
        <xdr:cNvSpPr/>
      </xdr:nvSpPr>
      <xdr:spPr bwMode="auto">
        <a:xfrm>
          <a:off x="8972550" y="19759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93</xdr:row>
      <xdr:rowOff>119380</xdr:rowOff>
    </xdr:from>
    <xdr:to>
      <xdr:col>13</xdr:col>
      <xdr:colOff>63500</xdr:colOff>
      <xdr:row>94</xdr:row>
      <xdr:rowOff>0</xdr:rowOff>
    </xdr:to>
    <xdr:sp macro="" textlink="">
      <xdr:nvSpPr>
        <xdr:cNvPr id="539" name="nuNumber: 553" hidden="1">
          <a:extLst>
            <a:ext uri="{FF2B5EF4-FFF2-40B4-BE49-F238E27FC236}">
              <a16:creationId xmlns:a16="http://schemas.microsoft.com/office/drawing/2014/main" id="{3921FA15-9CB8-443C-889B-6B4151DAA410}"/>
            </a:ext>
          </a:extLst>
        </xdr:cNvPr>
        <xdr:cNvSpPr/>
      </xdr:nvSpPr>
      <xdr:spPr bwMode="auto">
        <a:xfrm>
          <a:off x="9753600" y="19759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93</xdr:row>
      <xdr:rowOff>119380</xdr:rowOff>
    </xdr:from>
    <xdr:to>
      <xdr:col>14</xdr:col>
      <xdr:colOff>63500</xdr:colOff>
      <xdr:row>94</xdr:row>
      <xdr:rowOff>0</xdr:rowOff>
    </xdr:to>
    <xdr:sp macro="" textlink="">
      <xdr:nvSpPr>
        <xdr:cNvPr id="540" name="nuNumber: 554" hidden="1">
          <a:extLst>
            <a:ext uri="{FF2B5EF4-FFF2-40B4-BE49-F238E27FC236}">
              <a16:creationId xmlns:a16="http://schemas.microsoft.com/office/drawing/2014/main" id="{D904FF09-DB99-4526-A734-E168571972F6}"/>
            </a:ext>
          </a:extLst>
        </xdr:cNvPr>
        <xdr:cNvSpPr/>
      </xdr:nvSpPr>
      <xdr:spPr bwMode="auto">
        <a:xfrm>
          <a:off x="10515600" y="19759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93</xdr:row>
      <xdr:rowOff>119380</xdr:rowOff>
    </xdr:from>
    <xdr:to>
      <xdr:col>15</xdr:col>
      <xdr:colOff>63500</xdr:colOff>
      <xdr:row>94</xdr:row>
      <xdr:rowOff>0</xdr:rowOff>
    </xdr:to>
    <xdr:sp macro="" textlink="">
      <xdr:nvSpPr>
        <xdr:cNvPr id="541" name="nuNumber: 555" hidden="1">
          <a:extLst>
            <a:ext uri="{FF2B5EF4-FFF2-40B4-BE49-F238E27FC236}">
              <a16:creationId xmlns:a16="http://schemas.microsoft.com/office/drawing/2014/main" id="{0F902B08-E45F-46CB-A516-CFF383125A39}"/>
            </a:ext>
          </a:extLst>
        </xdr:cNvPr>
        <xdr:cNvSpPr/>
      </xdr:nvSpPr>
      <xdr:spPr bwMode="auto">
        <a:xfrm>
          <a:off x="11325225" y="19759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93</xdr:row>
      <xdr:rowOff>119380</xdr:rowOff>
    </xdr:from>
    <xdr:to>
      <xdr:col>16</xdr:col>
      <xdr:colOff>63500</xdr:colOff>
      <xdr:row>94</xdr:row>
      <xdr:rowOff>0</xdr:rowOff>
    </xdr:to>
    <xdr:sp macro="" textlink="">
      <xdr:nvSpPr>
        <xdr:cNvPr id="542" name="nuNumber: 556" hidden="1">
          <a:extLst>
            <a:ext uri="{FF2B5EF4-FFF2-40B4-BE49-F238E27FC236}">
              <a16:creationId xmlns:a16="http://schemas.microsoft.com/office/drawing/2014/main" id="{717A4B1E-A196-49FD-B16C-8BBACF9E4965}"/>
            </a:ext>
          </a:extLst>
        </xdr:cNvPr>
        <xdr:cNvSpPr/>
      </xdr:nvSpPr>
      <xdr:spPr bwMode="auto">
        <a:xfrm>
          <a:off x="12106275" y="19759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93</xdr:row>
      <xdr:rowOff>119380</xdr:rowOff>
    </xdr:from>
    <xdr:to>
      <xdr:col>17</xdr:col>
      <xdr:colOff>63500</xdr:colOff>
      <xdr:row>94</xdr:row>
      <xdr:rowOff>0</xdr:rowOff>
    </xdr:to>
    <xdr:sp macro="" textlink="">
      <xdr:nvSpPr>
        <xdr:cNvPr id="543" name="nuNumber: 557" hidden="1">
          <a:extLst>
            <a:ext uri="{FF2B5EF4-FFF2-40B4-BE49-F238E27FC236}">
              <a16:creationId xmlns:a16="http://schemas.microsoft.com/office/drawing/2014/main" id="{7E32FFAA-D3C4-4940-9DBC-B8FD77130355}"/>
            </a:ext>
          </a:extLst>
        </xdr:cNvPr>
        <xdr:cNvSpPr/>
      </xdr:nvSpPr>
      <xdr:spPr bwMode="auto">
        <a:xfrm>
          <a:off x="12887325" y="19759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93</xdr:row>
      <xdr:rowOff>119380</xdr:rowOff>
    </xdr:from>
    <xdr:to>
      <xdr:col>18</xdr:col>
      <xdr:colOff>63499</xdr:colOff>
      <xdr:row>94</xdr:row>
      <xdr:rowOff>0</xdr:rowOff>
    </xdr:to>
    <xdr:sp macro="" textlink="">
      <xdr:nvSpPr>
        <xdr:cNvPr id="544" name="nuNumber: 558" hidden="1">
          <a:extLst>
            <a:ext uri="{FF2B5EF4-FFF2-40B4-BE49-F238E27FC236}">
              <a16:creationId xmlns:a16="http://schemas.microsoft.com/office/drawing/2014/main" id="{847B9EB5-D3B9-4C89-B68A-98474307C0BE}"/>
            </a:ext>
          </a:extLst>
        </xdr:cNvPr>
        <xdr:cNvSpPr/>
      </xdr:nvSpPr>
      <xdr:spPr bwMode="auto">
        <a:xfrm>
          <a:off x="13624559" y="1975993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93</xdr:row>
      <xdr:rowOff>119380</xdr:rowOff>
    </xdr:from>
    <xdr:to>
      <xdr:col>19</xdr:col>
      <xdr:colOff>63500</xdr:colOff>
      <xdr:row>94</xdr:row>
      <xdr:rowOff>0</xdr:rowOff>
    </xdr:to>
    <xdr:sp macro="" textlink="">
      <xdr:nvSpPr>
        <xdr:cNvPr id="545" name="nuNumber: 559" hidden="1">
          <a:extLst>
            <a:ext uri="{FF2B5EF4-FFF2-40B4-BE49-F238E27FC236}">
              <a16:creationId xmlns:a16="http://schemas.microsoft.com/office/drawing/2014/main" id="{090A749E-C649-42C7-B3D2-EFDED47D9E77}"/>
            </a:ext>
          </a:extLst>
        </xdr:cNvPr>
        <xdr:cNvSpPr/>
      </xdr:nvSpPr>
      <xdr:spPr bwMode="auto">
        <a:xfrm>
          <a:off x="14382750" y="19759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93</xdr:row>
      <xdr:rowOff>119380</xdr:rowOff>
    </xdr:from>
    <xdr:to>
      <xdr:col>20</xdr:col>
      <xdr:colOff>63500</xdr:colOff>
      <xdr:row>94</xdr:row>
      <xdr:rowOff>0</xdr:rowOff>
    </xdr:to>
    <xdr:sp macro="" textlink="">
      <xdr:nvSpPr>
        <xdr:cNvPr id="546" name="nuNumber: 560" hidden="1">
          <a:extLst>
            <a:ext uri="{FF2B5EF4-FFF2-40B4-BE49-F238E27FC236}">
              <a16:creationId xmlns:a16="http://schemas.microsoft.com/office/drawing/2014/main" id="{FD571308-6FF1-4B86-A82D-D3D16C4D5483}"/>
            </a:ext>
          </a:extLst>
        </xdr:cNvPr>
        <xdr:cNvSpPr/>
      </xdr:nvSpPr>
      <xdr:spPr bwMode="auto">
        <a:xfrm>
          <a:off x="15135225" y="19759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93</xdr:row>
      <xdr:rowOff>119380</xdr:rowOff>
    </xdr:from>
    <xdr:to>
      <xdr:col>21</xdr:col>
      <xdr:colOff>63500</xdr:colOff>
      <xdr:row>94</xdr:row>
      <xdr:rowOff>0</xdr:rowOff>
    </xdr:to>
    <xdr:sp macro="" textlink="">
      <xdr:nvSpPr>
        <xdr:cNvPr id="547" name="nuNumber: 561" hidden="1">
          <a:extLst>
            <a:ext uri="{FF2B5EF4-FFF2-40B4-BE49-F238E27FC236}">
              <a16:creationId xmlns:a16="http://schemas.microsoft.com/office/drawing/2014/main" id="{8F8080E2-C940-4DE6-A46E-A01FCB2DED4E}"/>
            </a:ext>
          </a:extLst>
        </xdr:cNvPr>
        <xdr:cNvSpPr/>
      </xdr:nvSpPr>
      <xdr:spPr bwMode="auto">
        <a:xfrm>
          <a:off x="15849600" y="19759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97</xdr:row>
      <xdr:rowOff>119379</xdr:rowOff>
    </xdr:from>
    <xdr:to>
      <xdr:col>7</xdr:col>
      <xdr:colOff>63500</xdr:colOff>
      <xdr:row>97</xdr:row>
      <xdr:rowOff>182879</xdr:rowOff>
    </xdr:to>
    <xdr:sp macro="" textlink="">
      <xdr:nvSpPr>
        <xdr:cNvPr id="548" name="nuNumber: 562" hidden="1">
          <a:extLst>
            <a:ext uri="{FF2B5EF4-FFF2-40B4-BE49-F238E27FC236}">
              <a16:creationId xmlns:a16="http://schemas.microsoft.com/office/drawing/2014/main" id="{6FA8FC99-BD78-4007-86FC-4B249174BAE2}"/>
            </a:ext>
          </a:extLst>
        </xdr:cNvPr>
        <xdr:cNvSpPr/>
      </xdr:nvSpPr>
      <xdr:spPr bwMode="auto">
        <a:xfrm>
          <a:off x="4676775" y="206267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97</xdr:row>
      <xdr:rowOff>119379</xdr:rowOff>
    </xdr:from>
    <xdr:to>
      <xdr:col>8</xdr:col>
      <xdr:colOff>63500</xdr:colOff>
      <xdr:row>97</xdr:row>
      <xdr:rowOff>182879</xdr:rowOff>
    </xdr:to>
    <xdr:sp macro="" textlink="">
      <xdr:nvSpPr>
        <xdr:cNvPr id="549" name="nuNumber: 563" hidden="1">
          <a:extLst>
            <a:ext uri="{FF2B5EF4-FFF2-40B4-BE49-F238E27FC236}">
              <a16:creationId xmlns:a16="http://schemas.microsoft.com/office/drawing/2014/main" id="{87DD1C8D-8C04-4555-8BF2-5DB7A790B107}"/>
            </a:ext>
          </a:extLst>
        </xdr:cNvPr>
        <xdr:cNvSpPr/>
      </xdr:nvSpPr>
      <xdr:spPr bwMode="auto">
        <a:xfrm>
          <a:off x="5562600" y="206267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97</xdr:row>
      <xdr:rowOff>119379</xdr:rowOff>
    </xdr:from>
    <xdr:to>
      <xdr:col>9</xdr:col>
      <xdr:colOff>63500</xdr:colOff>
      <xdr:row>97</xdr:row>
      <xdr:rowOff>182879</xdr:rowOff>
    </xdr:to>
    <xdr:sp macro="" textlink="">
      <xdr:nvSpPr>
        <xdr:cNvPr id="550" name="nuNumber: 564" hidden="1">
          <a:extLst>
            <a:ext uri="{FF2B5EF4-FFF2-40B4-BE49-F238E27FC236}">
              <a16:creationId xmlns:a16="http://schemas.microsoft.com/office/drawing/2014/main" id="{BE018C65-6AFE-4C77-A5A0-CA09958CC3C4}"/>
            </a:ext>
          </a:extLst>
        </xdr:cNvPr>
        <xdr:cNvSpPr/>
      </xdr:nvSpPr>
      <xdr:spPr bwMode="auto">
        <a:xfrm>
          <a:off x="6467475" y="206267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97</xdr:row>
      <xdr:rowOff>119379</xdr:rowOff>
    </xdr:from>
    <xdr:to>
      <xdr:col>11</xdr:col>
      <xdr:colOff>63500</xdr:colOff>
      <xdr:row>97</xdr:row>
      <xdr:rowOff>182879</xdr:rowOff>
    </xdr:to>
    <xdr:sp macro="" textlink="">
      <xdr:nvSpPr>
        <xdr:cNvPr id="551" name="nuNumber: 565" hidden="1">
          <a:extLst>
            <a:ext uri="{FF2B5EF4-FFF2-40B4-BE49-F238E27FC236}">
              <a16:creationId xmlns:a16="http://schemas.microsoft.com/office/drawing/2014/main" id="{232AC01A-0E68-4750-BB61-CD882BF6981D}"/>
            </a:ext>
          </a:extLst>
        </xdr:cNvPr>
        <xdr:cNvSpPr/>
      </xdr:nvSpPr>
      <xdr:spPr bwMode="auto">
        <a:xfrm>
          <a:off x="8105775" y="206267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97</xdr:row>
      <xdr:rowOff>119379</xdr:rowOff>
    </xdr:from>
    <xdr:to>
      <xdr:col>12</xdr:col>
      <xdr:colOff>63500</xdr:colOff>
      <xdr:row>97</xdr:row>
      <xdr:rowOff>182879</xdr:rowOff>
    </xdr:to>
    <xdr:sp macro="" textlink="">
      <xdr:nvSpPr>
        <xdr:cNvPr id="552" name="nuNumber: 566" hidden="1">
          <a:extLst>
            <a:ext uri="{FF2B5EF4-FFF2-40B4-BE49-F238E27FC236}">
              <a16:creationId xmlns:a16="http://schemas.microsoft.com/office/drawing/2014/main" id="{5081D0F2-90A7-49D9-8E95-48988E634383}"/>
            </a:ext>
          </a:extLst>
        </xdr:cNvPr>
        <xdr:cNvSpPr/>
      </xdr:nvSpPr>
      <xdr:spPr bwMode="auto">
        <a:xfrm>
          <a:off x="8972550" y="206267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97</xdr:row>
      <xdr:rowOff>119379</xdr:rowOff>
    </xdr:from>
    <xdr:to>
      <xdr:col>13</xdr:col>
      <xdr:colOff>63500</xdr:colOff>
      <xdr:row>97</xdr:row>
      <xdr:rowOff>182879</xdr:rowOff>
    </xdr:to>
    <xdr:sp macro="" textlink="">
      <xdr:nvSpPr>
        <xdr:cNvPr id="553" name="nuNumber: 567" hidden="1">
          <a:extLst>
            <a:ext uri="{FF2B5EF4-FFF2-40B4-BE49-F238E27FC236}">
              <a16:creationId xmlns:a16="http://schemas.microsoft.com/office/drawing/2014/main" id="{D79853A1-7A0F-4FE1-B980-DDA0336C9A36}"/>
            </a:ext>
          </a:extLst>
        </xdr:cNvPr>
        <xdr:cNvSpPr/>
      </xdr:nvSpPr>
      <xdr:spPr bwMode="auto">
        <a:xfrm>
          <a:off x="9753600" y="206267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97</xdr:row>
      <xdr:rowOff>119379</xdr:rowOff>
    </xdr:from>
    <xdr:to>
      <xdr:col>14</xdr:col>
      <xdr:colOff>63500</xdr:colOff>
      <xdr:row>97</xdr:row>
      <xdr:rowOff>182879</xdr:rowOff>
    </xdr:to>
    <xdr:sp macro="" textlink="">
      <xdr:nvSpPr>
        <xdr:cNvPr id="554" name="nuNumber: 568" hidden="1">
          <a:extLst>
            <a:ext uri="{FF2B5EF4-FFF2-40B4-BE49-F238E27FC236}">
              <a16:creationId xmlns:a16="http://schemas.microsoft.com/office/drawing/2014/main" id="{AA586425-3503-497C-BE7B-1D67D67128F6}"/>
            </a:ext>
          </a:extLst>
        </xdr:cNvPr>
        <xdr:cNvSpPr/>
      </xdr:nvSpPr>
      <xdr:spPr bwMode="auto">
        <a:xfrm>
          <a:off x="10515600" y="206267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97</xdr:row>
      <xdr:rowOff>119379</xdr:rowOff>
    </xdr:from>
    <xdr:to>
      <xdr:col>15</xdr:col>
      <xdr:colOff>63500</xdr:colOff>
      <xdr:row>97</xdr:row>
      <xdr:rowOff>182879</xdr:rowOff>
    </xdr:to>
    <xdr:sp macro="" textlink="">
      <xdr:nvSpPr>
        <xdr:cNvPr id="555" name="nuNumber: 569" hidden="1">
          <a:extLst>
            <a:ext uri="{FF2B5EF4-FFF2-40B4-BE49-F238E27FC236}">
              <a16:creationId xmlns:a16="http://schemas.microsoft.com/office/drawing/2014/main" id="{D5AFB3BB-4388-46BE-BF12-A70009ED0F30}"/>
            </a:ext>
          </a:extLst>
        </xdr:cNvPr>
        <xdr:cNvSpPr/>
      </xdr:nvSpPr>
      <xdr:spPr bwMode="auto">
        <a:xfrm>
          <a:off x="11325225" y="206267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97</xdr:row>
      <xdr:rowOff>119379</xdr:rowOff>
    </xdr:from>
    <xdr:to>
      <xdr:col>16</xdr:col>
      <xdr:colOff>63500</xdr:colOff>
      <xdr:row>97</xdr:row>
      <xdr:rowOff>182879</xdr:rowOff>
    </xdr:to>
    <xdr:sp macro="" textlink="">
      <xdr:nvSpPr>
        <xdr:cNvPr id="556" name="nuNumber: 570" hidden="1">
          <a:extLst>
            <a:ext uri="{FF2B5EF4-FFF2-40B4-BE49-F238E27FC236}">
              <a16:creationId xmlns:a16="http://schemas.microsoft.com/office/drawing/2014/main" id="{6830EB4A-8091-4CD9-A1BC-620EEF892006}"/>
            </a:ext>
          </a:extLst>
        </xdr:cNvPr>
        <xdr:cNvSpPr/>
      </xdr:nvSpPr>
      <xdr:spPr bwMode="auto">
        <a:xfrm>
          <a:off x="12106275" y="206267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97</xdr:row>
      <xdr:rowOff>119379</xdr:rowOff>
    </xdr:from>
    <xdr:to>
      <xdr:col>17</xdr:col>
      <xdr:colOff>63500</xdr:colOff>
      <xdr:row>97</xdr:row>
      <xdr:rowOff>182879</xdr:rowOff>
    </xdr:to>
    <xdr:sp macro="" textlink="">
      <xdr:nvSpPr>
        <xdr:cNvPr id="557" name="nuNumber: 571" hidden="1">
          <a:extLst>
            <a:ext uri="{FF2B5EF4-FFF2-40B4-BE49-F238E27FC236}">
              <a16:creationId xmlns:a16="http://schemas.microsoft.com/office/drawing/2014/main" id="{2F23050F-5F75-4934-B209-3ADA024E3EED}"/>
            </a:ext>
          </a:extLst>
        </xdr:cNvPr>
        <xdr:cNvSpPr/>
      </xdr:nvSpPr>
      <xdr:spPr bwMode="auto">
        <a:xfrm>
          <a:off x="12887325" y="206267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97</xdr:row>
      <xdr:rowOff>119379</xdr:rowOff>
    </xdr:from>
    <xdr:to>
      <xdr:col>18</xdr:col>
      <xdr:colOff>63499</xdr:colOff>
      <xdr:row>97</xdr:row>
      <xdr:rowOff>182879</xdr:rowOff>
    </xdr:to>
    <xdr:sp macro="" textlink="">
      <xdr:nvSpPr>
        <xdr:cNvPr id="558" name="nuNumber: 572" hidden="1">
          <a:extLst>
            <a:ext uri="{FF2B5EF4-FFF2-40B4-BE49-F238E27FC236}">
              <a16:creationId xmlns:a16="http://schemas.microsoft.com/office/drawing/2014/main" id="{61605C00-7F42-401D-AA01-D3758C6282A5}"/>
            </a:ext>
          </a:extLst>
        </xdr:cNvPr>
        <xdr:cNvSpPr/>
      </xdr:nvSpPr>
      <xdr:spPr bwMode="auto">
        <a:xfrm>
          <a:off x="13624559" y="20626704"/>
          <a:ext cx="5969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97</xdr:row>
      <xdr:rowOff>119379</xdr:rowOff>
    </xdr:from>
    <xdr:to>
      <xdr:col>19</xdr:col>
      <xdr:colOff>63500</xdr:colOff>
      <xdr:row>97</xdr:row>
      <xdr:rowOff>182879</xdr:rowOff>
    </xdr:to>
    <xdr:sp macro="" textlink="">
      <xdr:nvSpPr>
        <xdr:cNvPr id="559" name="nuNumber: 573" hidden="1">
          <a:extLst>
            <a:ext uri="{FF2B5EF4-FFF2-40B4-BE49-F238E27FC236}">
              <a16:creationId xmlns:a16="http://schemas.microsoft.com/office/drawing/2014/main" id="{AFD3F050-8554-4AE8-994A-F84C259B9310}"/>
            </a:ext>
          </a:extLst>
        </xdr:cNvPr>
        <xdr:cNvSpPr/>
      </xdr:nvSpPr>
      <xdr:spPr bwMode="auto">
        <a:xfrm>
          <a:off x="14382750" y="206267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97</xdr:row>
      <xdr:rowOff>119379</xdr:rowOff>
    </xdr:from>
    <xdr:to>
      <xdr:col>20</xdr:col>
      <xdr:colOff>63500</xdr:colOff>
      <xdr:row>97</xdr:row>
      <xdr:rowOff>182879</xdr:rowOff>
    </xdr:to>
    <xdr:sp macro="" textlink="">
      <xdr:nvSpPr>
        <xdr:cNvPr id="560" name="nuNumber: 574" hidden="1">
          <a:extLst>
            <a:ext uri="{FF2B5EF4-FFF2-40B4-BE49-F238E27FC236}">
              <a16:creationId xmlns:a16="http://schemas.microsoft.com/office/drawing/2014/main" id="{B2947EDC-7B11-4FA2-A1AF-415260027F02}"/>
            </a:ext>
          </a:extLst>
        </xdr:cNvPr>
        <xdr:cNvSpPr/>
      </xdr:nvSpPr>
      <xdr:spPr bwMode="auto">
        <a:xfrm>
          <a:off x="15135225" y="206267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97</xdr:row>
      <xdr:rowOff>119379</xdr:rowOff>
    </xdr:from>
    <xdr:to>
      <xdr:col>21</xdr:col>
      <xdr:colOff>63500</xdr:colOff>
      <xdr:row>97</xdr:row>
      <xdr:rowOff>182879</xdr:rowOff>
    </xdr:to>
    <xdr:sp macro="" textlink="">
      <xdr:nvSpPr>
        <xdr:cNvPr id="561" name="nuNumber: 575" hidden="1">
          <a:extLst>
            <a:ext uri="{FF2B5EF4-FFF2-40B4-BE49-F238E27FC236}">
              <a16:creationId xmlns:a16="http://schemas.microsoft.com/office/drawing/2014/main" id="{84F6EBCA-DB85-4826-923B-280CA24805B7}"/>
            </a:ext>
          </a:extLst>
        </xdr:cNvPr>
        <xdr:cNvSpPr/>
      </xdr:nvSpPr>
      <xdr:spPr bwMode="auto">
        <a:xfrm>
          <a:off x="15849600" y="206267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98</xdr:row>
      <xdr:rowOff>119380</xdr:rowOff>
    </xdr:from>
    <xdr:to>
      <xdr:col>8</xdr:col>
      <xdr:colOff>63500</xdr:colOff>
      <xdr:row>99</xdr:row>
      <xdr:rowOff>0</xdr:rowOff>
    </xdr:to>
    <xdr:sp macro="" textlink="">
      <xdr:nvSpPr>
        <xdr:cNvPr id="562" name="nuNumber: 576" hidden="1">
          <a:extLst>
            <a:ext uri="{FF2B5EF4-FFF2-40B4-BE49-F238E27FC236}">
              <a16:creationId xmlns:a16="http://schemas.microsoft.com/office/drawing/2014/main" id="{6732E521-D5D3-4A96-AEED-8D413A045287}"/>
            </a:ext>
          </a:extLst>
        </xdr:cNvPr>
        <xdr:cNvSpPr/>
      </xdr:nvSpPr>
      <xdr:spPr bwMode="auto">
        <a:xfrm>
          <a:off x="5562600" y="208362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99</xdr:row>
      <xdr:rowOff>119380</xdr:rowOff>
    </xdr:from>
    <xdr:to>
      <xdr:col>8</xdr:col>
      <xdr:colOff>63500</xdr:colOff>
      <xdr:row>100</xdr:row>
      <xdr:rowOff>0</xdr:rowOff>
    </xdr:to>
    <xdr:sp macro="" textlink="">
      <xdr:nvSpPr>
        <xdr:cNvPr id="563" name="nuNumber: 577" hidden="1">
          <a:extLst>
            <a:ext uri="{FF2B5EF4-FFF2-40B4-BE49-F238E27FC236}">
              <a16:creationId xmlns:a16="http://schemas.microsoft.com/office/drawing/2014/main" id="{F76AB9F4-1E49-4762-9A52-89C6E50D78A8}"/>
            </a:ext>
          </a:extLst>
        </xdr:cNvPr>
        <xdr:cNvSpPr/>
      </xdr:nvSpPr>
      <xdr:spPr bwMode="auto">
        <a:xfrm>
          <a:off x="5562600" y="210458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100</xdr:row>
      <xdr:rowOff>119380</xdr:rowOff>
    </xdr:from>
    <xdr:to>
      <xdr:col>8</xdr:col>
      <xdr:colOff>63500</xdr:colOff>
      <xdr:row>101</xdr:row>
      <xdr:rowOff>0</xdr:rowOff>
    </xdr:to>
    <xdr:sp macro="" textlink="">
      <xdr:nvSpPr>
        <xdr:cNvPr id="564" name="nuNumber: 578" hidden="1">
          <a:extLst>
            <a:ext uri="{FF2B5EF4-FFF2-40B4-BE49-F238E27FC236}">
              <a16:creationId xmlns:a16="http://schemas.microsoft.com/office/drawing/2014/main" id="{1AD2DC2E-750C-49F0-BDAB-E0A91C8CA267}"/>
            </a:ext>
          </a:extLst>
        </xdr:cNvPr>
        <xdr:cNvSpPr/>
      </xdr:nvSpPr>
      <xdr:spPr bwMode="auto">
        <a:xfrm>
          <a:off x="5562600" y="212553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101</xdr:row>
      <xdr:rowOff>119381</xdr:rowOff>
    </xdr:from>
    <xdr:to>
      <xdr:col>8</xdr:col>
      <xdr:colOff>63500</xdr:colOff>
      <xdr:row>102</xdr:row>
      <xdr:rowOff>1</xdr:rowOff>
    </xdr:to>
    <xdr:sp macro="" textlink="">
      <xdr:nvSpPr>
        <xdr:cNvPr id="565" name="nuNumber: 579" hidden="1">
          <a:extLst>
            <a:ext uri="{FF2B5EF4-FFF2-40B4-BE49-F238E27FC236}">
              <a16:creationId xmlns:a16="http://schemas.microsoft.com/office/drawing/2014/main" id="{EA2633A1-5493-4A2E-BB62-6846E2319A8E}"/>
            </a:ext>
          </a:extLst>
        </xdr:cNvPr>
        <xdr:cNvSpPr/>
      </xdr:nvSpPr>
      <xdr:spPr bwMode="auto">
        <a:xfrm>
          <a:off x="5562600" y="214649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102</xdr:row>
      <xdr:rowOff>119379</xdr:rowOff>
    </xdr:from>
    <xdr:to>
      <xdr:col>8</xdr:col>
      <xdr:colOff>63500</xdr:colOff>
      <xdr:row>102</xdr:row>
      <xdr:rowOff>182879</xdr:rowOff>
    </xdr:to>
    <xdr:sp macro="" textlink="">
      <xdr:nvSpPr>
        <xdr:cNvPr id="566" name="nuNumber: 580" hidden="1">
          <a:extLst>
            <a:ext uri="{FF2B5EF4-FFF2-40B4-BE49-F238E27FC236}">
              <a16:creationId xmlns:a16="http://schemas.microsoft.com/office/drawing/2014/main" id="{8C2018B9-ADAE-44E9-A78A-2380C4E83743}"/>
            </a:ext>
          </a:extLst>
        </xdr:cNvPr>
        <xdr:cNvSpPr/>
      </xdr:nvSpPr>
      <xdr:spPr bwMode="auto">
        <a:xfrm>
          <a:off x="5562600" y="216744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103</xdr:row>
      <xdr:rowOff>119380</xdr:rowOff>
    </xdr:from>
    <xdr:to>
      <xdr:col>8</xdr:col>
      <xdr:colOff>63500</xdr:colOff>
      <xdr:row>104</xdr:row>
      <xdr:rowOff>0</xdr:rowOff>
    </xdr:to>
    <xdr:sp macro="" textlink="">
      <xdr:nvSpPr>
        <xdr:cNvPr id="567" name="nuNumber: 581" hidden="1">
          <a:extLst>
            <a:ext uri="{FF2B5EF4-FFF2-40B4-BE49-F238E27FC236}">
              <a16:creationId xmlns:a16="http://schemas.microsoft.com/office/drawing/2014/main" id="{E12B9FC9-D70A-43A2-B92F-E8D69662013A}"/>
            </a:ext>
          </a:extLst>
        </xdr:cNvPr>
        <xdr:cNvSpPr/>
      </xdr:nvSpPr>
      <xdr:spPr bwMode="auto">
        <a:xfrm>
          <a:off x="5562600" y="218840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104</xdr:row>
      <xdr:rowOff>119380</xdr:rowOff>
    </xdr:from>
    <xdr:to>
      <xdr:col>8</xdr:col>
      <xdr:colOff>63500</xdr:colOff>
      <xdr:row>105</xdr:row>
      <xdr:rowOff>0</xdr:rowOff>
    </xdr:to>
    <xdr:sp macro="" textlink="">
      <xdr:nvSpPr>
        <xdr:cNvPr id="568" name="nuNumber: 582" hidden="1">
          <a:extLst>
            <a:ext uri="{FF2B5EF4-FFF2-40B4-BE49-F238E27FC236}">
              <a16:creationId xmlns:a16="http://schemas.microsoft.com/office/drawing/2014/main" id="{9F09721F-A29A-4CB8-B8A6-0F2F13BA96B2}"/>
            </a:ext>
          </a:extLst>
        </xdr:cNvPr>
        <xdr:cNvSpPr/>
      </xdr:nvSpPr>
      <xdr:spPr bwMode="auto">
        <a:xfrm>
          <a:off x="5562600" y="220935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105</xdr:row>
      <xdr:rowOff>119380</xdr:rowOff>
    </xdr:from>
    <xdr:to>
      <xdr:col>8</xdr:col>
      <xdr:colOff>63500</xdr:colOff>
      <xdr:row>106</xdr:row>
      <xdr:rowOff>0</xdr:rowOff>
    </xdr:to>
    <xdr:sp macro="" textlink="">
      <xdr:nvSpPr>
        <xdr:cNvPr id="569" name="nuNumber: 583" hidden="1">
          <a:extLst>
            <a:ext uri="{FF2B5EF4-FFF2-40B4-BE49-F238E27FC236}">
              <a16:creationId xmlns:a16="http://schemas.microsoft.com/office/drawing/2014/main" id="{0349749D-E090-4145-8330-822CC28A9835}"/>
            </a:ext>
          </a:extLst>
        </xdr:cNvPr>
        <xdr:cNvSpPr/>
      </xdr:nvSpPr>
      <xdr:spPr bwMode="auto">
        <a:xfrm>
          <a:off x="5562600" y="223031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106</xdr:row>
      <xdr:rowOff>119381</xdr:rowOff>
    </xdr:from>
    <xdr:to>
      <xdr:col>8</xdr:col>
      <xdr:colOff>63500</xdr:colOff>
      <xdr:row>107</xdr:row>
      <xdr:rowOff>1</xdr:rowOff>
    </xdr:to>
    <xdr:sp macro="" textlink="">
      <xdr:nvSpPr>
        <xdr:cNvPr id="570" name="nuNumber: 584" hidden="1">
          <a:extLst>
            <a:ext uri="{FF2B5EF4-FFF2-40B4-BE49-F238E27FC236}">
              <a16:creationId xmlns:a16="http://schemas.microsoft.com/office/drawing/2014/main" id="{72469FAD-35BF-4FFD-92E6-83FCF588FCBD}"/>
            </a:ext>
          </a:extLst>
        </xdr:cNvPr>
        <xdr:cNvSpPr/>
      </xdr:nvSpPr>
      <xdr:spPr bwMode="auto">
        <a:xfrm>
          <a:off x="5562600" y="225126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111</xdr:row>
      <xdr:rowOff>119380</xdr:rowOff>
    </xdr:from>
    <xdr:to>
      <xdr:col>6</xdr:col>
      <xdr:colOff>63500</xdr:colOff>
      <xdr:row>112</xdr:row>
      <xdr:rowOff>0</xdr:rowOff>
    </xdr:to>
    <xdr:sp macro="" textlink="">
      <xdr:nvSpPr>
        <xdr:cNvPr id="571" name="nuNumber: 585" hidden="1">
          <a:extLst>
            <a:ext uri="{FF2B5EF4-FFF2-40B4-BE49-F238E27FC236}">
              <a16:creationId xmlns:a16="http://schemas.microsoft.com/office/drawing/2014/main" id="{F9FA6E40-9705-463E-A16E-6D6904B65197}"/>
            </a:ext>
          </a:extLst>
        </xdr:cNvPr>
        <xdr:cNvSpPr/>
      </xdr:nvSpPr>
      <xdr:spPr bwMode="auto">
        <a:xfrm>
          <a:off x="3800475" y="23560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111</xdr:row>
      <xdr:rowOff>119380</xdr:rowOff>
    </xdr:from>
    <xdr:to>
      <xdr:col>7</xdr:col>
      <xdr:colOff>63500</xdr:colOff>
      <xdr:row>112</xdr:row>
      <xdr:rowOff>0</xdr:rowOff>
    </xdr:to>
    <xdr:sp macro="" textlink="">
      <xdr:nvSpPr>
        <xdr:cNvPr id="572" name="nuNumber: 586" hidden="1">
          <a:extLst>
            <a:ext uri="{FF2B5EF4-FFF2-40B4-BE49-F238E27FC236}">
              <a16:creationId xmlns:a16="http://schemas.microsoft.com/office/drawing/2014/main" id="{BC95BEE3-E3E5-4BE8-B118-3EDE3F26344A}"/>
            </a:ext>
          </a:extLst>
        </xdr:cNvPr>
        <xdr:cNvSpPr/>
      </xdr:nvSpPr>
      <xdr:spPr bwMode="auto">
        <a:xfrm>
          <a:off x="4676775" y="23560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111</xdr:row>
      <xdr:rowOff>119380</xdr:rowOff>
    </xdr:from>
    <xdr:to>
      <xdr:col>8</xdr:col>
      <xdr:colOff>63500</xdr:colOff>
      <xdr:row>112</xdr:row>
      <xdr:rowOff>0</xdr:rowOff>
    </xdr:to>
    <xdr:sp macro="" textlink="">
      <xdr:nvSpPr>
        <xdr:cNvPr id="573" name="nuNumber: 587" hidden="1">
          <a:extLst>
            <a:ext uri="{FF2B5EF4-FFF2-40B4-BE49-F238E27FC236}">
              <a16:creationId xmlns:a16="http://schemas.microsoft.com/office/drawing/2014/main" id="{74D4AC26-3A9D-4EE3-8162-A3F51CE08837}"/>
            </a:ext>
          </a:extLst>
        </xdr:cNvPr>
        <xdr:cNvSpPr/>
      </xdr:nvSpPr>
      <xdr:spPr bwMode="auto">
        <a:xfrm>
          <a:off x="5562600" y="23560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111</xdr:row>
      <xdr:rowOff>119380</xdr:rowOff>
    </xdr:from>
    <xdr:to>
      <xdr:col>9</xdr:col>
      <xdr:colOff>63500</xdr:colOff>
      <xdr:row>112</xdr:row>
      <xdr:rowOff>0</xdr:rowOff>
    </xdr:to>
    <xdr:sp macro="" textlink="">
      <xdr:nvSpPr>
        <xdr:cNvPr id="574" name="nuNumber: 588" hidden="1">
          <a:extLst>
            <a:ext uri="{FF2B5EF4-FFF2-40B4-BE49-F238E27FC236}">
              <a16:creationId xmlns:a16="http://schemas.microsoft.com/office/drawing/2014/main" id="{B87BC6CE-9F25-4B70-BDBB-28E696E50855}"/>
            </a:ext>
          </a:extLst>
        </xdr:cNvPr>
        <xdr:cNvSpPr/>
      </xdr:nvSpPr>
      <xdr:spPr bwMode="auto">
        <a:xfrm>
          <a:off x="6467475" y="23560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111</xdr:row>
      <xdr:rowOff>119380</xdr:rowOff>
    </xdr:from>
    <xdr:to>
      <xdr:col>9</xdr:col>
      <xdr:colOff>63500</xdr:colOff>
      <xdr:row>112</xdr:row>
      <xdr:rowOff>0</xdr:rowOff>
    </xdr:to>
    <xdr:sp macro="" textlink="">
      <xdr:nvSpPr>
        <xdr:cNvPr id="575" name="nuNumber: 589" hidden="1">
          <a:extLst>
            <a:ext uri="{FF2B5EF4-FFF2-40B4-BE49-F238E27FC236}">
              <a16:creationId xmlns:a16="http://schemas.microsoft.com/office/drawing/2014/main" id="{E76C6099-D44E-460D-9EBB-2B7AA8D79E7E}"/>
            </a:ext>
          </a:extLst>
        </xdr:cNvPr>
        <xdr:cNvSpPr/>
      </xdr:nvSpPr>
      <xdr:spPr bwMode="auto">
        <a:xfrm>
          <a:off x="6467475" y="23560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111</xdr:row>
      <xdr:rowOff>119380</xdr:rowOff>
    </xdr:from>
    <xdr:to>
      <xdr:col>10</xdr:col>
      <xdr:colOff>63500</xdr:colOff>
      <xdr:row>112</xdr:row>
      <xdr:rowOff>0</xdr:rowOff>
    </xdr:to>
    <xdr:sp macro="" textlink="">
      <xdr:nvSpPr>
        <xdr:cNvPr id="576" name="nuNumber: 590" hidden="1">
          <a:extLst>
            <a:ext uri="{FF2B5EF4-FFF2-40B4-BE49-F238E27FC236}">
              <a16:creationId xmlns:a16="http://schemas.microsoft.com/office/drawing/2014/main" id="{D0EC8827-4EB6-4FE5-B1E9-F5FCA589C3A4}"/>
            </a:ext>
          </a:extLst>
        </xdr:cNvPr>
        <xdr:cNvSpPr/>
      </xdr:nvSpPr>
      <xdr:spPr bwMode="auto">
        <a:xfrm>
          <a:off x="7315200" y="23560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111</xdr:row>
      <xdr:rowOff>119380</xdr:rowOff>
    </xdr:from>
    <xdr:to>
      <xdr:col>11</xdr:col>
      <xdr:colOff>63500</xdr:colOff>
      <xdr:row>112</xdr:row>
      <xdr:rowOff>0</xdr:rowOff>
    </xdr:to>
    <xdr:sp macro="" textlink="">
      <xdr:nvSpPr>
        <xdr:cNvPr id="577" name="nuNumber: 591" hidden="1">
          <a:extLst>
            <a:ext uri="{FF2B5EF4-FFF2-40B4-BE49-F238E27FC236}">
              <a16:creationId xmlns:a16="http://schemas.microsoft.com/office/drawing/2014/main" id="{622ECF90-3237-4FCB-AD83-CBE619F9698F}"/>
            </a:ext>
          </a:extLst>
        </xdr:cNvPr>
        <xdr:cNvSpPr/>
      </xdr:nvSpPr>
      <xdr:spPr bwMode="auto">
        <a:xfrm>
          <a:off x="8105775" y="23560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111</xdr:row>
      <xdr:rowOff>119380</xdr:rowOff>
    </xdr:from>
    <xdr:to>
      <xdr:col>12</xdr:col>
      <xdr:colOff>63500</xdr:colOff>
      <xdr:row>112</xdr:row>
      <xdr:rowOff>0</xdr:rowOff>
    </xdr:to>
    <xdr:sp macro="" textlink="">
      <xdr:nvSpPr>
        <xdr:cNvPr id="578" name="nuNumber: 592" hidden="1">
          <a:extLst>
            <a:ext uri="{FF2B5EF4-FFF2-40B4-BE49-F238E27FC236}">
              <a16:creationId xmlns:a16="http://schemas.microsoft.com/office/drawing/2014/main" id="{3DEBEE14-9177-442F-8965-549A32C7EFCB}"/>
            </a:ext>
          </a:extLst>
        </xdr:cNvPr>
        <xdr:cNvSpPr/>
      </xdr:nvSpPr>
      <xdr:spPr bwMode="auto">
        <a:xfrm>
          <a:off x="8972550" y="23560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111</xdr:row>
      <xdr:rowOff>119380</xdr:rowOff>
    </xdr:from>
    <xdr:to>
      <xdr:col>13</xdr:col>
      <xdr:colOff>63500</xdr:colOff>
      <xdr:row>112</xdr:row>
      <xdr:rowOff>0</xdr:rowOff>
    </xdr:to>
    <xdr:sp macro="" textlink="">
      <xdr:nvSpPr>
        <xdr:cNvPr id="579" name="nuNumber: 593" hidden="1">
          <a:extLst>
            <a:ext uri="{FF2B5EF4-FFF2-40B4-BE49-F238E27FC236}">
              <a16:creationId xmlns:a16="http://schemas.microsoft.com/office/drawing/2014/main" id="{0CC67F88-A150-441B-9D90-94E9CDA90038}"/>
            </a:ext>
          </a:extLst>
        </xdr:cNvPr>
        <xdr:cNvSpPr/>
      </xdr:nvSpPr>
      <xdr:spPr bwMode="auto">
        <a:xfrm>
          <a:off x="9753600" y="23560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111</xdr:row>
      <xdr:rowOff>119380</xdr:rowOff>
    </xdr:from>
    <xdr:to>
      <xdr:col>14</xdr:col>
      <xdr:colOff>63500</xdr:colOff>
      <xdr:row>112</xdr:row>
      <xdr:rowOff>0</xdr:rowOff>
    </xdr:to>
    <xdr:sp macro="" textlink="">
      <xdr:nvSpPr>
        <xdr:cNvPr id="580" name="nuNumber: 594" hidden="1">
          <a:extLst>
            <a:ext uri="{FF2B5EF4-FFF2-40B4-BE49-F238E27FC236}">
              <a16:creationId xmlns:a16="http://schemas.microsoft.com/office/drawing/2014/main" id="{728921B2-2F6D-4019-83F9-BD0FDAA0D68D}"/>
            </a:ext>
          </a:extLst>
        </xdr:cNvPr>
        <xdr:cNvSpPr/>
      </xdr:nvSpPr>
      <xdr:spPr bwMode="auto">
        <a:xfrm>
          <a:off x="10515600" y="23560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111</xdr:row>
      <xdr:rowOff>119380</xdr:rowOff>
    </xdr:from>
    <xdr:to>
      <xdr:col>15</xdr:col>
      <xdr:colOff>63500</xdr:colOff>
      <xdr:row>112</xdr:row>
      <xdr:rowOff>0</xdr:rowOff>
    </xdr:to>
    <xdr:sp macro="" textlink="">
      <xdr:nvSpPr>
        <xdr:cNvPr id="581" name="nuNumber: 595" hidden="1">
          <a:extLst>
            <a:ext uri="{FF2B5EF4-FFF2-40B4-BE49-F238E27FC236}">
              <a16:creationId xmlns:a16="http://schemas.microsoft.com/office/drawing/2014/main" id="{A2250E99-0838-4DAA-86CF-3F7423DD805F}"/>
            </a:ext>
          </a:extLst>
        </xdr:cNvPr>
        <xdr:cNvSpPr/>
      </xdr:nvSpPr>
      <xdr:spPr bwMode="auto">
        <a:xfrm>
          <a:off x="11325225" y="23560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111</xdr:row>
      <xdr:rowOff>119380</xdr:rowOff>
    </xdr:from>
    <xdr:to>
      <xdr:col>16</xdr:col>
      <xdr:colOff>63500</xdr:colOff>
      <xdr:row>112</xdr:row>
      <xdr:rowOff>0</xdr:rowOff>
    </xdr:to>
    <xdr:sp macro="" textlink="">
      <xdr:nvSpPr>
        <xdr:cNvPr id="582" name="nuNumber: 596" hidden="1">
          <a:extLst>
            <a:ext uri="{FF2B5EF4-FFF2-40B4-BE49-F238E27FC236}">
              <a16:creationId xmlns:a16="http://schemas.microsoft.com/office/drawing/2014/main" id="{57CD08A6-E90A-4809-825E-B43DD5D84C96}"/>
            </a:ext>
          </a:extLst>
        </xdr:cNvPr>
        <xdr:cNvSpPr/>
      </xdr:nvSpPr>
      <xdr:spPr bwMode="auto">
        <a:xfrm>
          <a:off x="12106275" y="23560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111</xdr:row>
      <xdr:rowOff>119380</xdr:rowOff>
    </xdr:from>
    <xdr:to>
      <xdr:col>17</xdr:col>
      <xdr:colOff>63500</xdr:colOff>
      <xdr:row>112</xdr:row>
      <xdr:rowOff>0</xdr:rowOff>
    </xdr:to>
    <xdr:sp macro="" textlink="">
      <xdr:nvSpPr>
        <xdr:cNvPr id="583" name="nuNumber: 597" hidden="1">
          <a:extLst>
            <a:ext uri="{FF2B5EF4-FFF2-40B4-BE49-F238E27FC236}">
              <a16:creationId xmlns:a16="http://schemas.microsoft.com/office/drawing/2014/main" id="{B328DC61-2BBD-4E60-A6FE-7298A19516C6}"/>
            </a:ext>
          </a:extLst>
        </xdr:cNvPr>
        <xdr:cNvSpPr/>
      </xdr:nvSpPr>
      <xdr:spPr bwMode="auto">
        <a:xfrm>
          <a:off x="12887325" y="23560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111</xdr:row>
      <xdr:rowOff>119380</xdr:rowOff>
    </xdr:from>
    <xdr:to>
      <xdr:col>18</xdr:col>
      <xdr:colOff>63499</xdr:colOff>
      <xdr:row>112</xdr:row>
      <xdr:rowOff>0</xdr:rowOff>
    </xdr:to>
    <xdr:sp macro="" textlink="">
      <xdr:nvSpPr>
        <xdr:cNvPr id="584" name="nuNumber: 598" hidden="1">
          <a:extLst>
            <a:ext uri="{FF2B5EF4-FFF2-40B4-BE49-F238E27FC236}">
              <a16:creationId xmlns:a16="http://schemas.microsoft.com/office/drawing/2014/main" id="{843AC40B-A32E-457B-9898-EC395E9D16B5}"/>
            </a:ext>
          </a:extLst>
        </xdr:cNvPr>
        <xdr:cNvSpPr/>
      </xdr:nvSpPr>
      <xdr:spPr bwMode="auto">
        <a:xfrm>
          <a:off x="13624559" y="23560405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111</xdr:row>
      <xdr:rowOff>119380</xdr:rowOff>
    </xdr:from>
    <xdr:to>
      <xdr:col>19</xdr:col>
      <xdr:colOff>63500</xdr:colOff>
      <xdr:row>112</xdr:row>
      <xdr:rowOff>0</xdr:rowOff>
    </xdr:to>
    <xdr:sp macro="" textlink="">
      <xdr:nvSpPr>
        <xdr:cNvPr id="585" name="nuNumber: 599" hidden="1">
          <a:extLst>
            <a:ext uri="{FF2B5EF4-FFF2-40B4-BE49-F238E27FC236}">
              <a16:creationId xmlns:a16="http://schemas.microsoft.com/office/drawing/2014/main" id="{306DAC1F-1E84-4A61-B647-CBB27C58682E}"/>
            </a:ext>
          </a:extLst>
        </xdr:cNvPr>
        <xdr:cNvSpPr/>
      </xdr:nvSpPr>
      <xdr:spPr bwMode="auto">
        <a:xfrm>
          <a:off x="14382750" y="23560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112</xdr:row>
      <xdr:rowOff>119381</xdr:rowOff>
    </xdr:from>
    <xdr:to>
      <xdr:col>7</xdr:col>
      <xdr:colOff>63500</xdr:colOff>
      <xdr:row>113</xdr:row>
      <xdr:rowOff>1</xdr:rowOff>
    </xdr:to>
    <xdr:sp macro="" textlink="">
      <xdr:nvSpPr>
        <xdr:cNvPr id="586" name="nuNumber: 600" hidden="1">
          <a:extLst>
            <a:ext uri="{FF2B5EF4-FFF2-40B4-BE49-F238E27FC236}">
              <a16:creationId xmlns:a16="http://schemas.microsoft.com/office/drawing/2014/main" id="{4114BB67-9AC8-4394-A442-C29255A44FF5}"/>
            </a:ext>
          </a:extLst>
        </xdr:cNvPr>
        <xdr:cNvSpPr/>
      </xdr:nvSpPr>
      <xdr:spPr bwMode="auto">
        <a:xfrm>
          <a:off x="4676775" y="23769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112</xdr:row>
      <xdr:rowOff>119381</xdr:rowOff>
    </xdr:from>
    <xdr:to>
      <xdr:col>8</xdr:col>
      <xdr:colOff>63500</xdr:colOff>
      <xdr:row>113</xdr:row>
      <xdr:rowOff>1</xdr:rowOff>
    </xdr:to>
    <xdr:sp macro="" textlink="">
      <xdr:nvSpPr>
        <xdr:cNvPr id="587" name="nuNumber: 601" hidden="1">
          <a:extLst>
            <a:ext uri="{FF2B5EF4-FFF2-40B4-BE49-F238E27FC236}">
              <a16:creationId xmlns:a16="http://schemas.microsoft.com/office/drawing/2014/main" id="{CB17D3E1-C4C2-4D94-A49B-72AB3138D7C6}"/>
            </a:ext>
          </a:extLst>
        </xdr:cNvPr>
        <xdr:cNvSpPr/>
      </xdr:nvSpPr>
      <xdr:spPr bwMode="auto">
        <a:xfrm>
          <a:off x="5562600" y="23769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112</xdr:row>
      <xdr:rowOff>119381</xdr:rowOff>
    </xdr:from>
    <xdr:to>
      <xdr:col>9</xdr:col>
      <xdr:colOff>63500</xdr:colOff>
      <xdr:row>113</xdr:row>
      <xdr:rowOff>1</xdr:rowOff>
    </xdr:to>
    <xdr:sp macro="" textlink="">
      <xdr:nvSpPr>
        <xdr:cNvPr id="588" name="nuNumber: 602" hidden="1">
          <a:extLst>
            <a:ext uri="{FF2B5EF4-FFF2-40B4-BE49-F238E27FC236}">
              <a16:creationId xmlns:a16="http://schemas.microsoft.com/office/drawing/2014/main" id="{E2A99873-2EAE-45EC-858E-A8E6F364512C}"/>
            </a:ext>
          </a:extLst>
        </xdr:cNvPr>
        <xdr:cNvSpPr/>
      </xdr:nvSpPr>
      <xdr:spPr bwMode="auto">
        <a:xfrm>
          <a:off x="6467475" y="23769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112</xdr:row>
      <xdr:rowOff>119381</xdr:rowOff>
    </xdr:from>
    <xdr:to>
      <xdr:col>11</xdr:col>
      <xdr:colOff>63500</xdr:colOff>
      <xdr:row>113</xdr:row>
      <xdr:rowOff>1</xdr:rowOff>
    </xdr:to>
    <xdr:sp macro="" textlink="">
      <xdr:nvSpPr>
        <xdr:cNvPr id="589" name="nuNumber: 603" hidden="1">
          <a:extLst>
            <a:ext uri="{FF2B5EF4-FFF2-40B4-BE49-F238E27FC236}">
              <a16:creationId xmlns:a16="http://schemas.microsoft.com/office/drawing/2014/main" id="{195E62AF-634A-45F3-8F50-509F41C55DC2}"/>
            </a:ext>
          </a:extLst>
        </xdr:cNvPr>
        <xdr:cNvSpPr/>
      </xdr:nvSpPr>
      <xdr:spPr bwMode="auto">
        <a:xfrm>
          <a:off x="8105775" y="23769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112</xdr:row>
      <xdr:rowOff>119381</xdr:rowOff>
    </xdr:from>
    <xdr:to>
      <xdr:col>12</xdr:col>
      <xdr:colOff>63500</xdr:colOff>
      <xdr:row>113</xdr:row>
      <xdr:rowOff>1</xdr:rowOff>
    </xdr:to>
    <xdr:sp macro="" textlink="">
      <xdr:nvSpPr>
        <xdr:cNvPr id="590" name="nuNumber: 604" hidden="1">
          <a:extLst>
            <a:ext uri="{FF2B5EF4-FFF2-40B4-BE49-F238E27FC236}">
              <a16:creationId xmlns:a16="http://schemas.microsoft.com/office/drawing/2014/main" id="{F6530699-E008-4384-B4A1-538211C614CB}"/>
            </a:ext>
          </a:extLst>
        </xdr:cNvPr>
        <xdr:cNvSpPr/>
      </xdr:nvSpPr>
      <xdr:spPr bwMode="auto">
        <a:xfrm>
          <a:off x="8972550" y="23769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112</xdr:row>
      <xdr:rowOff>119381</xdr:rowOff>
    </xdr:from>
    <xdr:to>
      <xdr:col>13</xdr:col>
      <xdr:colOff>63500</xdr:colOff>
      <xdr:row>113</xdr:row>
      <xdr:rowOff>1</xdr:rowOff>
    </xdr:to>
    <xdr:sp macro="" textlink="">
      <xdr:nvSpPr>
        <xdr:cNvPr id="591" name="nuNumber: 605" hidden="1">
          <a:extLst>
            <a:ext uri="{FF2B5EF4-FFF2-40B4-BE49-F238E27FC236}">
              <a16:creationId xmlns:a16="http://schemas.microsoft.com/office/drawing/2014/main" id="{19557917-7A7D-4B59-8A87-6A150C650646}"/>
            </a:ext>
          </a:extLst>
        </xdr:cNvPr>
        <xdr:cNvSpPr/>
      </xdr:nvSpPr>
      <xdr:spPr bwMode="auto">
        <a:xfrm>
          <a:off x="9753600" y="23769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112</xdr:row>
      <xdr:rowOff>119381</xdr:rowOff>
    </xdr:from>
    <xdr:to>
      <xdr:col>14</xdr:col>
      <xdr:colOff>63500</xdr:colOff>
      <xdr:row>113</xdr:row>
      <xdr:rowOff>1</xdr:rowOff>
    </xdr:to>
    <xdr:sp macro="" textlink="">
      <xdr:nvSpPr>
        <xdr:cNvPr id="592" name="nuNumber: 606" hidden="1">
          <a:extLst>
            <a:ext uri="{FF2B5EF4-FFF2-40B4-BE49-F238E27FC236}">
              <a16:creationId xmlns:a16="http://schemas.microsoft.com/office/drawing/2014/main" id="{452EC272-72AC-4DB3-A3ED-AEE475A44A0F}"/>
            </a:ext>
          </a:extLst>
        </xdr:cNvPr>
        <xdr:cNvSpPr/>
      </xdr:nvSpPr>
      <xdr:spPr bwMode="auto">
        <a:xfrm>
          <a:off x="10515600" y="23769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112</xdr:row>
      <xdr:rowOff>119381</xdr:rowOff>
    </xdr:from>
    <xdr:to>
      <xdr:col>15</xdr:col>
      <xdr:colOff>63500</xdr:colOff>
      <xdr:row>113</xdr:row>
      <xdr:rowOff>1</xdr:rowOff>
    </xdr:to>
    <xdr:sp macro="" textlink="">
      <xdr:nvSpPr>
        <xdr:cNvPr id="593" name="nuNumber: 607" hidden="1">
          <a:extLst>
            <a:ext uri="{FF2B5EF4-FFF2-40B4-BE49-F238E27FC236}">
              <a16:creationId xmlns:a16="http://schemas.microsoft.com/office/drawing/2014/main" id="{6D0251E7-2CD7-48E9-B3C8-AE8C71FC15A8}"/>
            </a:ext>
          </a:extLst>
        </xdr:cNvPr>
        <xdr:cNvSpPr/>
      </xdr:nvSpPr>
      <xdr:spPr bwMode="auto">
        <a:xfrm>
          <a:off x="11325225" y="23769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112</xdr:row>
      <xdr:rowOff>119381</xdr:rowOff>
    </xdr:from>
    <xdr:to>
      <xdr:col>16</xdr:col>
      <xdr:colOff>63500</xdr:colOff>
      <xdr:row>113</xdr:row>
      <xdr:rowOff>1</xdr:rowOff>
    </xdr:to>
    <xdr:sp macro="" textlink="">
      <xdr:nvSpPr>
        <xdr:cNvPr id="594" name="nuNumber: 608" hidden="1">
          <a:extLst>
            <a:ext uri="{FF2B5EF4-FFF2-40B4-BE49-F238E27FC236}">
              <a16:creationId xmlns:a16="http://schemas.microsoft.com/office/drawing/2014/main" id="{82F7FD48-65E3-410F-85B6-E2D59459C651}"/>
            </a:ext>
          </a:extLst>
        </xdr:cNvPr>
        <xdr:cNvSpPr/>
      </xdr:nvSpPr>
      <xdr:spPr bwMode="auto">
        <a:xfrm>
          <a:off x="12106275" y="23769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112</xdr:row>
      <xdr:rowOff>119381</xdr:rowOff>
    </xdr:from>
    <xdr:to>
      <xdr:col>17</xdr:col>
      <xdr:colOff>63500</xdr:colOff>
      <xdr:row>113</xdr:row>
      <xdr:rowOff>1</xdr:rowOff>
    </xdr:to>
    <xdr:sp macro="" textlink="">
      <xdr:nvSpPr>
        <xdr:cNvPr id="595" name="nuNumber: 609" hidden="1">
          <a:extLst>
            <a:ext uri="{FF2B5EF4-FFF2-40B4-BE49-F238E27FC236}">
              <a16:creationId xmlns:a16="http://schemas.microsoft.com/office/drawing/2014/main" id="{DB23BB5D-93C8-44CA-A4C9-8BA50EA5DD67}"/>
            </a:ext>
          </a:extLst>
        </xdr:cNvPr>
        <xdr:cNvSpPr/>
      </xdr:nvSpPr>
      <xdr:spPr bwMode="auto">
        <a:xfrm>
          <a:off x="12887325" y="23769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112</xdr:row>
      <xdr:rowOff>119381</xdr:rowOff>
    </xdr:from>
    <xdr:to>
      <xdr:col>18</xdr:col>
      <xdr:colOff>63499</xdr:colOff>
      <xdr:row>113</xdr:row>
      <xdr:rowOff>1</xdr:rowOff>
    </xdr:to>
    <xdr:sp macro="" textlink="">
      <xdr:nvSpPr>
        <xdr:cNvPr id="596" name="nuNumber: 610" hidden="1">
          <a:extLst>
            <a:ext uri="{FF2B5EF4-FFF2-40B4-BE49-F238E27FC236}">
              <a16:creationId xmlns:a16="http://schemas.microsoft.com/office/drawing/2014/main" id="{47EB2F6D-D782-4352-94B3-1B12C4E63670}"/>
            </a:ext>
          </a:extLst>
        </xdr:cNvPr>
        <xdr:cNvSpPr/>
      </xdr:nvSpPr>
      <xdr:spPr bwMode="auto">
        <a:xfrm>
          <a:off x="13624559" y="23769956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112</xdr:row>
      <xdr:rowOff>119381</xdr:rowOff>
    </xdr:from>
    <xdr:to>
      <xdr:col>19</xdr:col>
      <xdr:colOff>63500</xdr:colOff>
      <xdr:row>113</xdr:row>
      <xdr:rowOff>1</xdr:rowOff>
    </xdr:to>
    <xdr:sp macro="" textlink="">
      <xdr:nvSpPr>
        <xdr:cNvPr id="597" name="nuNumber: 611" hidden="1">
          <a:extLst>
            <a:ext uri="{FF2B5EF4-FFF2-40B4-BE49-F238E27FC236}">
              <a16:creationId xmlns:a16="http://schemas.microsoft.com/office/drawing/2014/main" id="{F65A7D5F-7C18-46AF-B668-9B032A0907A8}"/>
            </a:ext>
          </a:extLst>
        </xdr:cNvPr>
        <xdr:cNvSpPr/>
      </xdr:nvSpPr>
      <xdr:spPr bwMode="auto">
        <a:xfrm>
          <a:off x="14382750" y="23769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112</xdr:row>
      <xdr:rowOff>119381</xdr:rowOff>
    </xdr:from>
    <xdr:to>
      <xdr:col>20</xdr:col>
      <xdr:colOff>63500</xdr:colOff>
      <xdr:row>113</xdr:row>
      <xdr:rowOff>1</xdr:rowOff>
    </xdr:to>
    <xdr:sp macro="" textlink="">
      <xdr:nvSpPr>
        <xdr:cNvPr id="598" name="nuNumber: 612" hidden="1">
          <a:extLst>
            <a:ext uri="{FF2B5EF4-FFF2-40B4-BE49-F238E27FC236}">
              <a16:creationId xmlns:a16="http://schemas.microsoft.com/office/drawing/2014/main" id="{7355C1F3-2E62-4DCC-A857-13A0538771FC}"/>
            </a:ext>
          </a:extLst>
        </xdr:cNvPr>
        <xdr:cNvSpPr/>
      </xdr:nvSpPr>
      <xdr:spPr bwMode="auto">
        <a:xfrm>
          <a:off x="15135225" y="23769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112</xdr:row>
      <xdr:rowOff>119381</xdr:rowOff>
    </xdr:from>
    <xdr:to>
      <xdr:col>21</xdr:col>
      <xdr:colOff>63500</xdr:colOff>
      <xdr:row>113</xdr:row>
      <xdr:rowOff>1</xdr:rowOff>
    </xdr:to>
    <xdr:sp macro="" textlink="">
      <xdr:nvSpPr>
        <xdr:cNvPr id="599" name="nuNumber: 613" hidden="1">
          <a:extLst>
            <a:ext uri="{FF2B5EF4-FFF2-40B4-BE49-F238E27FC236}">
              <a16:creationId xmlns:a16="http://schemas.microsoft.com/office/drawing/2014/main" id="{5031582B-751B-496C-BDD5-0AD701B348EB}"/>
            </a:ext>
          </a:extLst>
        </xdr:cNvPr>
        <xdr:cNvSpPr/>
      </xdr:nvSpPr>
      <xdr:spPr bwMode="auto">
        <a:xfrm>
          <a:off x="15849600" y="23769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132</xdr:row>
      <xdr:rowOff>119380</xdr:rowOff>
    </xdr:from>
    <xdr:to>
      <xdr:col>8</xdr:col>
      <xdr:colOff>63500</xdr:colOff>
      <xdr:row>133</xdr:row>
      <xdr:rowOff>0</xdr:rowOff>
    </xdr:to>
    <xdr:sp macro="" textlink="">
      <xdr:nvSpPr>
        <xdr:cNvPr id="600" name="nuNumber: 614" hidden="1">
          <a:extLst>
            <a:ext uri="{FF2B5EF4-FFF2-40B4-BE49-F238E27FC236}">
              <a16:creationId xmlns:a16="http://schemas.microsoft.com/office/drawing/2014/main" id="{CF417151-68CF-470C-A015-3D82E151AD1D}"/>
            </a:ext>
          </a:extLst>
        </xdr:cNvPr>
        <xdr:cNvSpPr/>
      </xdr:nvSpPr>
      <xdr:spPr bwMode="auto">
        <a:xfrm>
          <a:off x="5562600" y="279800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132</xdr:row>
      <xdr:rowOff>119380</xdr:rowOff>
    </xdr:from>
    <xdr:to>
      <xdr:col>9</xdr:col>
      <xdr:colOff>63500</xdr:colOff>
      <xdr:row>133</xdr:row>
      <xdr:rowOff>0</xdr:rowOff>
    </xdr:to>
    <xdr:sp macro="" textlink="">
      <xdr:nvSpPr>
        <xdr:cNvPr id="601" name="nuNumber: 615" hidden="1">
          <a:extLst>
            <a:ext uri="{FF2B5EF4-FFF2-40B4-BE49-F238E27FC236}">
              <a16:creationId xmlns:a16="http://schemas.microsoft.com/office/drawing/2014/main" id="{5636CC15-A7AC-47FB-8713-A73A5DDAA942}"/>
            </a:ext>
          </a:extLst>
        </xdr:cNvPr>
        <xdr:cNvSpPr/>
      </xdr:nvSpPr>
      <xdr:spPr bwMode="auto">
        <a:xfrm>
          <a:off x="6467475" y="279800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132</xdr:row>
      <xdr:rowOff>119380</xdr:rowOff>
    </xdr:from>
    <xdr:to>
      <xdr:col>9</xdr:col>
      <xdr:colOff>63500</xdr:colOff>
      <xdr:row>133</xdr:row>
      <xdr:rowOff>0</xdr:rowOff>
    </xdr:to>
    <xdr:sp macro="" textlink="">
      <xdr:nvSpPr>
        <xdr:cNvPr id="602" name="nuNumber: 616" hidden="1">
          <a:extLst>
            <a:ext uri="{FF2B5EF4-FFF2-40B4-BE49-F238E27FC236}">
              <a16:creationId xmlns:a16="http://schemas.microsoft.com/office/drawing/2014/main" id="{8558C892-58B9-4C67-9C78-3FAFA505330A}"/>
            </a:ext>
          </a:extLst>
        </xdr:cNvPr>
        <xdr:cNvSpPr/>
      </xdr:nvSpPr>
      <xdr:spPr bwMode="auto">
        <a:xfrm>
          <a:off x="6467475" y="279800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132</xdr:row>
      <xdr:rowOff>119380</xdr:rowOff>
    </xdr:from>
    <xdr:to>
      <xdr:col>10</xdr:col>
      <xdr:colOff>63500</xdr:colOff>
      <xdr:row>133</xdr:row>
      <xdr:rowOff>0</xdr:rowOff>
    </xdr:to>
    <xdr:sp macro="" textlink="">
      <xdr:nvSpPr>
        <xdr:cNvPr id="603" name="nuNumber: 617" hidden="1">
          <a:extLst>
            <a:ext uri="{FF2B5EF4-FFF2-40B4-BE49-F238E27FC236}">
              <a16:creationId xmlns:a16="http://schemas.microsoft.com/office/drawing/2014/main" id="{ADE52345-8D23-4FE9-BF1D-C13D572E142D}"/>
            </a:ext>
          </a:extLst>
        </xdr:cNvPr>
        <xdr:cNvSpPr/>
      </xdr:nvSpPr>
      <xdr:spPr bwMode="auto">
        <a:xfrm>
          <a:off x="7315200" y="279800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132</xdr:row>
      <xdr:rowOff>119380</xdr:rowOff>
    </xdr:from>
    <xdr:to>
      <xdr:col>11</xdr:col>
      <xdr:colOff>63500</xdr:colOff>
      <xdr:row>133</xdr:row>
      <xdr:rowOff>0</xdr:rowOff>
    </xdr:to>
    <xdr:sp macro="" textlink="">
      <xdr:nvSpPr>
        <xdr:cNvPr id="604" name="nuNumber: 618" hidden="1">
          <a:extLst>
            <a:ext uri="{FF2B5EF4-FFF2-40B4-BE49-F238E27FC236}">
              <a16:creationId xmlns:a16="http://schemas.microsoft.com/office/drawing/2014/main" id="{A8EAD8A9-D2CB-41A7-8E81-D43DD05098A8}"/>
            </a:ext>
          </a:extLst>
        </xdr:cNvPr>
        <xdr:cNvSpPr/>
      </xdr:nvSpPr>
      <xdr:spPr bwMode="auto">
        <a:xfrm>
          <a:off x="8105775" y="279800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132</xdr:row>
      <xdr:rowOff>119380</xdr:rowOff>
    </xdr:from>
    <xdr:to>
      <xdr:col>12</xdr:col>
      <xdr:colOff>63500</xdr:colOff>
      <xdr:row>133</xdr:row>
      <xdr:rowOff>0</xdr:rowOff>
    </xdr:to>
    <xdr:sp macro="" textlink="">
      <xdr:nvSpPr>
        <xdr:cNvPr id="605" name="nuNumber: 619" hidden="1">
          <a:extLst>
            <a:ext uri="{FF2B5EF4-FFF2-40B4-BE49-F238E27FC236}">
              <a16:creationId xmlns:a16="http://schemas.microsoft.com/office/drawing/2014/main" id="{20FE11E0-CF70-4DF6-ACA6-E3AB1535B97F}"/>
            </a:ext>
          </a:extLst>
        </xdr:cNvPr>
        <xdr:cNvSpPr/>
      </xdr:nvSpPr>
      <xdr:spPr bwMode="auto">
        <a:xfrm>
          <a:off x="8972550" y="279800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132</xdr:row>
      <xdr:rowOff>119380</xdr:rowOff>
    </xdr:from>
    <xdr:to>
      <xdr:col>13</xdr:col>
      <xdr:colOff>63500</xdr:colOff>
      <xdr:row>133</xdr:row>
      <xdr:rowOff>0</xdr:rowOff>
    </xdr:to>
    <xdr:sp macro="" textlink="">
      <xdr:nvSpPr>
        <xdr:cNvPr id="606" name="nuNumber: 620" hidden="1">
          <a:extLst>
            <a:ext uri="{FF2B5EF4-FFF2-40B4-BE49-F238E27FC236}">
              <a16:creationId xmlns:a16="http://schemas.microsoft.com/office/drawing/2014/main" id="{7E73356C-6CDA-4ED4-9B1D-4644A8D097A6}"/>
            </a:ext>
          </a:extLst>
        </xdr:cNvPr>
        <xdr:cNvSpPr/>
      </xdr:nvSpPr>
      <xdr:spPr bwMode="auto">
        <a:xfrm>
          <a:off x="9753600" y="279800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132</xdr:row>
      <xdr:rowOff>119380</xdr:rowOff>
    </xdr:from>
    <xdr:to>
      <xdr:col>14</xdr:col>
      <xdr:colOff>63500</xdr:colOff>
      <xdr:row>133</xdr:row>
      <xdr:rowOff>0</xdr:rowOff>
    </xdr:to>
    <xdr:sp macro="" textlink="">
      <xdr:nvSpPr>
        <xdr:cNvPr id="607" name="nuNumber: 621" hidden="1">
          <a:extLst>
            <a:ext uri="{FF2B5EF4-FFF2-40B4-BE49-F238E27FC236}">
              <a16:creationId xmlns:a16="http://schemas.microsoft.com/office/drawing/2014/main" id="{F5ED8789-1100-46A7-82EB-86325CF8C33A}"/>
            </a:ext>
          </a:extLst>
        </xdr:cNvPr>
        <xdr:cNvSpPr/>
      </xdr:nvSpPr>
      <xdr:spPr bwMode="auto">
        <a:xfrm>
          <a:off x="10515600" y="279800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132</xdr:row>
      <xdr:rowOff>119380</xdr:rowOff>
    </xdr:from>
    <xdr:to>
      <xdr:col>15</xdr:col>
      <xdr:colOff>63500</xdr:colOff>
      <xdr:row>133</xdr:row>
      <xdr:rowOff>0</xdr:rowOff>
    </xdr:to>
    <xdr:sp macro="" textlink="">
      <xdr:nvSpPr>
        <xdr:cNvPr id="608" name="nuNumber: 622" hidden="1">
          <a:extLst>
            <a:ext uri="{FF2B5EF4-FFF2-40B4-BE49-F238E27FC236}">
              <a16:creationId xmlns:a16="http://schemas.microsoft.com/office/drawing/2014/main" id="{FDEB0846-6D04-4130-95FA-B504FADE1AA8}"/>
            </a:ext>
          </a:extLst>
        </xdr:cNvPr>
        <xdr:cNvSpPr/>
      </xdr:nvSpPr>
      <xdr:spPr bwMode="auto">
        <a:xfrm>
          <a:off x="11325225" y="279800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132</xdr:row>
      <xdr:rowOff>119380</xdr:rowOff>
    </xdr:from>
    <xdr:to>
      <xdr:col>16</xdr:col>
      <xdr:colOff>63500</xdr:colOff>
      <xdr:row>133</xdr:row>
      <xdr:rowOff>0</xdr:rowOff>
    </xdr:to>
    <xdr:sp macro="" textlink="">
      <xdr:nvSpPr>
        <xdr:cNvPr id="609" name="nuNumber: 623" hidden="1">
          <a:extLst>
            <a:ext uri="{FF2B5EF4-FFF2-40B4-BE49-F238E27FC236}">
              <a16:creationId xmlns:a16="http://schemas.microsoft.com/office/drawing/2014/main" id="{6DC40E3A-91F5-45BF-9FE9-FE69EED985CC}"/>
            </a:ext>
          </a:extLst>
        </xdr:cNvPr>
        <xdr:cNvSpPr/>
      </xdr:nvSpPr>
      <xdr:spPr bwMode="auto">
        <a:xfrm>
          <a:off x="12106275" y="279800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132</xdr:row>
      <xdr:rowOff>119380</xdr:rowOff>
    </xdr:from>
    <xdr:to>
      <xdr:col>17</xdr:col>
      <xdr:colOff>63500</xdr:colOff>
      <xdr:row>133</xdr:row>
      <xdr:rowOff>0</xdr:rowOff>
    </xdr:to>
    <xdr:sp macro="" textlink="">
      <xdr:nvSpPr>
        <xdr:cNvPr id="610" name="nuNumber: 624" hidden="1">
          <a:extLst>
            <a:ext uri="{FF2B5EF4-FFF2-40B4-BE49-F238E27FC236}">
              <a16:creationId xmlns:a16="http://schemas.microsoft.com/office/drawing/2014/main" id="{E0AE78F5-F232-4B01-9291-AFAB6FD9269A}"/>
            </a:ext>
          </a:extLst>
        </xdr:cNvPr>
        <xdr:cNvSpPr/>
      </xdr:nvSpPr>
      <xdr:spPr bwMode="auto">
        <a:xfrm>
          <a:off x="12887325" y="279800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132</xdr:row>
      <xdr:rowOff>119380</xdr:rowOff>
    </xdr:from>
    <xdr:to>
      <xdr:col>18</xdr:col>
      <xdr:colOff>63499</xdr:colOff>
      <xdr:row>133</xdr:row>
      <xdr:rowOff>0</xdr:rowOff>
    </xdr:to>
    <xdr:sp macro="" textlink="">
      <xdr:nvSpPr>
        <xdr:cNvPr id="611" name="nuNumber: 625" hidden="1">
          <a:extLst>
            <a:ext uri="{FF2B5EF4-FFF2-40B4-BE49-F238E27FC236}">
              <a16:creationId xmlns:a16="http://schemas.microsoft.com/office/drawing/2014/main" id="{D1E7A7BF-BF54-4CB9-B25F-E8B4C1FC84A8}"/>
            </a:ext>
          </a:extLst>
        </xdr:cNvPr>
        <xdr:cNvSpPr/>
      </xdr:nvSpPr>
      <xdr:spPr bwMode="auto">
        <a:xfrm>
          <a:off x="13624559" y="27980005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132</xdr:row>
      <xdr:rowOff>119380</xdr:rowOff>
    </xdr:from>
    <xdr:to>
      <xdr:col>19</xdr:col>
      <xdr:colOff>63500</xdr:colOff>
      <xdr:row>133</xdr:row>
      <xdr:rowOff>0</xdr:rowOff>
    </xdr:to>
    <xdr:sp macro="" textlink="">
      <xdr:nvSpPr>
        <xdr:cNvPr id="612" name="nuNumber: 626" hidden="1">
          <a:extLst>
            <a:ext uri="{FF2B5EF4-FFF2-40B4-BE49-F238E27FC236}">
              <a16:creationId xmlns:a16="http://schemas.microsoft.com/office/drawing/2014/main" id="{10B883E2-4164-4D51-9E1D-1605B4D0C156}"/>
            </a:ext>
          </a:extLst>
        </xdr:cNvPr>
        <xdr:cNvSpPr/>
      </xdr:nvSpPr>
      <xdr:spPr bwMode="auto">
        <a:xfrm>
          <a:off x="14382750" y="279800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132</xdr:row>
      <xdr:rowOff>119380</xdr:rowOff>
    </xdr:from>
    <xdr:to>
      <xdr:col>20</xdr:col>
      <xdr:colOff>63500</xdr:colOff>
      <xdr:row>133</xdr:row>
      <xdr:rowOff>0</xdr:rowOff>
    </xdr:to>
    <xdr:sp macro="" textlink="">
      <xdr:nvSpPr>
        <xdr:cNvPr id="613" name="nuNumber: 627" hidden="1">
          <a:extLst>
            <a:ext uri="{FF2B5EF4-FFF2-40B4-BE49-F238E27FC236}">
              <a16:creationId xmlns:a16="http://schemas.microsoft.com/office/drawing/2014/main" id="{1ED8F3C9-0C33-4752-B920-2AFA8E053310}"/>
            </a:ext>
          </a:extLst>
        </xdr:cNvPr>
        <xdr:cNvSpPr/>
      </xdr:nvSpPr>
      <xdr:spPr bwMode="auto">
        <a:xfrm>
          <a:off x="15135225" y="279800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132</xdr:row>
      <xdr:rowOff>119380</xdr:rowOff>
    </xdr:from>
    <xdr:to>
      <xdr:col>21</xdr:col>
      <xdr:colOff>63500</xdr:colOff>
      <xdr:row>133</xdr:row>
      <xdr:rowOff>0</xdr:rowOff>
    </xdr:to>
    <xdr:sp macro="" textlink="">
      <xdr:nvSpPr>
        <xdr:cNvPr id="614" name="nuNumber: 628" hidden="1">
          <a:extLst>
            <a:ext uri="{FF2B5EF4-FFF2-40B4-BE49-F238E27FC236}">
              <a16:creationId xmlns:a16="http://schemas.microsoft.com/office/drawing/2014/main" id="{D78D0535-7593-4E55-B2C6-F93452B8F633}"/>
            </a:ext>
          </a:extLst>
        </xdr:cNvPr>
        <xdr:cNvSpPr/>
      </xdr:nvSpPr>
      <xdr:spPr bwMode="auto">
        <a:xfrm>
          <a:off x="15849600" y="279800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133</xdr:row>
      <xdr:rowOff>119380</xdr:rowOff>
    </xdr:from>
    <xdr:to>
      <xdr:col>8</xdr:col>
      <xdr:colOff>63500</xdr:colOff>
      <xdr:row>134</xdr:row>
      <xdr:rowOff>0</xdr:rowOff>
    </xdr:to>
    <xdr:sp macro="" textlink="">
      <xdr:nvSpPr>
        <xdr:cNvPr id="615" name="nuNumber: 629" hidden="1">
          <a:extLst>
            <a:ext uri="{FF2B5EF4-FFF2-40B4-BE49-F238E27FC236}">
              <a16:creationId xmlns:a16="http://schemas.microsoft.com/office/drawing/2014/main" id="{9364F20A-9D0B-40C4-83E7-25CF575E1A2E}"/>
            </a:ext>
          </a:extLst>
        </xdr:cNvPr>
        <xdr:cNvSpPr/>
      </xdr:nvSpPr>
      <xdr:spPr bwMode="auto">
        <a:xfrm>
          <a:off x="5562600" y="281895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133</xdr:row>
      <xdr:rowOff>119380</xdr:rowOff>
    </xdr:from>
    <xdr:to>
      <xdr:col>9</xdr:col>
      <xdr:colOff>63500</xdr:colOff>
      <xdr:row>134</xdr:row>
      <xdr:rowOff>0</xdr:rowOff>
    </xdr:to>
    <xdr:sp macro="" textlink="">
      <xdr:nvSpPr>
        <xdr:cNvPr id="616" name="nuNumber: 630" hidden="1">
          <a:extLst>
            <a:ext uri="{FF2B5EF4-FFF2-40B4-BE49-F238E27FC236}">
              <a16:creationId xmlns:a16="http://schemas.microsoft.com/office/drawing/2014/main" id="{5A01499D-62C9-415C-A496-F2E8C267A6DE}"/>
            </a:ext>
          </a:extLst>
        </xdr:cNvPr>
        <xdr:cNvSpPr/>
      </xdr:nvSpPr>
      <xdr:spPr bwMode="auto">
        <a:xfrm>
          <a:off x="6467475" y="281895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133</xdr:row>
      <xdr:rowOff>119380</xdr:rowOff>
    </xdr:from>
    <xdr:to>
      <xdr:col>9</xdr:col>
      <xdr:colOff>63500</xdr:colOff>
      <xdr:row>134</xdr:row>
      <xdr:rowOff>0</xdr:rowOff>
    </xdr:to>
    <xdr:sp macro="" textlink="">
      <xdr:nvSpPr>
        <xdr:cNvPr id="617" name="nuNumber: 631" hidden="1">
          <a:extLst>
            <a:ext uri="{FF2B5EF4-FFF2-40B4-BE49-F238E27FC236}">
              <a16:creationId xmlns:a16="http://schemas.microsoft.com/office/drawing/2014/main" id="{77895DEA-56B0-48E2-91C5-CFB4338CC8D7}"/>
            </a:ext>
          </a:extLst>
        </xdr:cNvPr>
        <xdr:cNvSpPr/>
      </xdr:nvSpPr>
      <xdr:spPr bwMode="auto">
        <a:xfrm>
          <a:off x="6467475" y="281895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133</xdr:row>
      <xdr:rowOff>119380</xdr:rowOff>
    </xdr:from>
    <xdr:to>
      <xdr:col>10</xdr:col>
      <xdr:colOff>63500</xdr:colOff>
      <xdr:row>134</xdr:row>
      <xdr:rowOff>0</xdr:rowOff>
    </xdr:to>
    <xdr:sp macro="" textlink="">
      <xdr:nvSpPr>
        <xdr:cNvPr id="618" name="nuNumber: 632" hidden="1">
          <a:extLst>
            <a:ext uri="{FF2B5EF4-FFF2-40B4-BE49-F238E27FC236}">
              <a16:creationId xmlns:a16="http://schemas.microsoft.com/office/drawing/2014/main" id="{1540FCF8-8C2C-43DA-8233-9027B6307C22}"/>
            </a:ext>
          </a:extLst>
        </xdr:cNvPr>
        <xdr:cNvSpPr/>
      </xdr:nvSpPr>
      <xdr:spPr bwMode="auto">
        <a:xfrm>
          <a:off x="7315200" y="281895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133</xdr:row>
      <xdr:rowOff>119380</xdr:rowOff>
    </xdr:from>
    <xdr:to>
      <xdr:col>11</xdr:col>
      <xdr:colOff>63500</xdr:colOff>
      <xdr:row>134</xdr:row>
      <xdr:rowOff>0</xdr:rowOff>
    </xdr:to>
    <xdr:sp macro="" textlink="">
      <xdr:nvSpPr>
        <xdr:cNvPr id="619" name="nuNumber: 633" hidden="1">
          <a:extLst>
            <a:ext uri="{FF2B5EF4-FFF2-40B4-BE49-F238E27FC236}">
              <a16:creationId xmlns:a16="http://schemas.microsoft.com/office/drawing/2014/main" id="{E5E4A347-A254-4E8A-A969-A8F5FB76D002}"/>
            </a:ext>
          </a:extLst>
        </xdr:cNvPr>
        <xdr:cNvSpPr/>
      </xdr:nvSpPr>
      <xdr:spPr bwMode="auto">
        <a:xfrm>
          <a:off x="8105775" y="281895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133</xdr:row>
      <xdr:rowOff>119380</xdr:rowOff>
    </xdr:from>
    <xdr:to>
      <xdr:col>12</xdr:col>
      <xdr:colOff>63500</xdr:colOff>
      <xdr:row>134</xdr:row>
      <xdr:rowOff>0</xdr:rowOff>
    </xdr:to>
    <xdr:sp macro="" textlink="">
      <xdr:nvSpPr>
        <xdr:cNvPr id="620" name="nuNumber: 634" hidden="1">
          <a:extLst>
            <a:ext uri="{FF2B5EF4-FFF2-40B4-BE49-F238E27FC236}">
              <a16:creationId xmlns:a16="http://schemas.microsoft.com/office/drawing/2014/main" id="{6D60DB26-152D-4C61-9869-8C54543C3EA8}"/>
            </a:ext>
          </a:extLst>
        </xdr:cNvPr>
        <xdr:cNvSpPr/>
      </xdr:nvSpPr>
      <xdr:spPr bwMode="auto">
        <a:xfrm>
          <a:off x="8972550" y="281895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133</xdr:row>
      <xdr:rowOff>119380</xdr:rowOff>
    </xdr:from>
    <xdr:to>
      <xdr:col>13</xdr:col>
      <xdr:colOff>63500</xdr:colOff>
      <xdr:row>134</xdr:row>
      <xdr:rowOff>0</xdr:rowOff>
    </xdr:to>
    <xdr:sp macro="" textlink="">
      <xdr:nvSpPr>
        <xdr:cNvPr id="621" name="nuNumber: 635" hidden="1">
          <a:extLst>
            <a:ext uri="{FF2B5EF4-FFF2-40B4-BE49-F238E27FC236}">
              <a16:creationId xmlns:a16="http://schemas.microsoft.com/office/drawing/2014/main" id="{3B9854D1-30C2-4425-B475-207273B4E8B8}"/>
            </a:ext>
          </a:extLst>
        </xdr:cNvPr>
        <xdr:cNvSpPr/>
      </xdr:nvSpPr>
      <xdr:spPr bwMode="auto">
        <a:xfrm>
          <a:off x="9753600" y="281895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133</xdr:row>
      <xdr:rowOff>119380</xdr:rowOff>
    </xdr:from>
    <xdr:to>
      <xdr:col>14</xdr:col>
      <xdr:colOff>63500</xdr:colOff>
      <xdr:row>134</xdr:row>
      <xdr:rowOff>0</xdr:rowOff>
    </xdr:to>
    <xdr:sp macro="" textlink="">
      <xdr:nvSpPr>
        <xdr:cNvPr id="622" name="nuNumber: 636" hidden="1">
          <a:extLst>
            <a:ext uri="{FF2B5EF4-FFF2-40B4-BE49-F238E27FC236}">
              <a16:creationId xmlns:a16="http://schemas.microsoft.com/office/drawing/2014/main" id="{C1442F3D-E72A-48CA-B351-CF8A1CBDBB34}"/>
            </a:ext>
          </a:extLst>
        </xdr:cNvPr>
        <xdr:cNvSpPr/>
      </xdr:nvSpPr>
      <xdr:spPr bwMode="auto">
        <a:xfrm>
          <a:off x="10515600" y="281895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133</xdr:row>
      <xdr:rowOff>119380</xdr:rowOff>
    </xdr:from>
    <xdr:to>
      <xdr:col>15</xdr:col>
      <xdr:colOff>63500</xdr:colOff>
      <xdr:row>134</xdr:row>
      <xdr:rowOff>0</xdr:rowOff>
    </xdr:to>
    <xdr:sp macro="" textlink="">
      <xdr:nvSpPr>
        <xdr:cNvPr id="623" name="nuNumber: 637" hidden="1">
          <a:extLst>
            <a:ext uri="{FF2B5EF4-FFF2-40B4-BE49-F238E27FC236}">
              <a16:creationId xmlns:a16="http://schemas.microsoft.com/office/drawing/2014/main" id="{75BE2686-0E5E-40C6-9342-B8ECD4ACAA9B}"/>
            </a:ext>
          </a:extLst>
        </xdr:cNvPr>
        <xdr:cNvSpPr/>
      </xdr:nvSpPr>
      <xdr:spPr bwMode="auto">
        <a:xfrm>
          <a:off x="11325225" y="281895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133</xdr:row>
      <xdr:rowOff>119380</xdr:rowOff>
    </xdr:from>
    <xdr:to>
      <xdr:col>16</xdr:col>
      <xdr:colOff>63500</xdr:colOff>
      <xdr:row>134</xdr:row>
      <xdr:rowOff>0</xdr:rowOff>
    </xdr:to>
    <xdr:sp macro="" textlink="">
      <xdr:nvSpPr>
        <xdr:cNvPr id="624" name="nuNumber: 638" hidden="1">
          <a:extLst>
            <a:ext uri="{FF2B5EF4-FFF2-40B4-BE49-F238E27FC236}">
              <a16:creationId xmlns:a16="http://schemas.microsoft.com/office/drawing/2014/main" id="{251FBF18-6A20-48FB-92BE-F8220CD29E96}"/>
            </a:ext>
          </a:extLst>
        </xdr:cNvPr>
        <xdr:cNvSpPr/>
      </xdr:nvSpPr>
      <xdr:spPr bwMode="auto">
        <a:xfrm>
          <a:off x="12106275" y="281895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133</xdr:row>
      <xdr:rowOff>119380</xdr:rowOff>
    </xdr:from>
    <xdr:to>
      <xdr:col>17</xdr:col>
      <xdr:colOff>63500</xdr:colOff>
      <xdr:row>134</xdr:row>
      <xdr:rowOff>0</xdr:rowOff>
    </xdr:to>
    <xdr:sp macro="" textlink="">
      <xdr:nvSpPr>
        <xdr:cNvPr id="625" name="nuNumber: 639" hidden="1">
          <a:extLst>
            <a:ext uri="{FF2B5EF4-FFF2-40B4-BE49-F238E27FC236}">
              <a16:creationId xmlns:a16="http://schemas.microsoft.com/office/drawing/2014/main" id="{C93E730A-44C6-4EC6-B265-DC9ADC19BE6B}"/>
            </a:ext>
          </a:extLst>
        </xdr:cNvPr>
        <xdr:cNvSpPr/>
      </xdr:nvSpPr>
      <xdr:spPr bwMode="auto">
        <a:xfrm>
          <a:off x="12887325" y="281895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133</xdr:row>
      <xdr:rowOff>119380</xdr:rowOff>
    </xdr:from>
    <xdr:to>
      <xdr:col>18</xdr:col>
      <xdr:colOff>63499</xdr:colOff>
      <xdr:row>134</xdr:row>
      <xdr:rowOff>0</xdr:rowOff>
    </xdr:to>
    <xdr:sp macro="" textlink="">
      <xdr:nvSpPr>
        <xdr:cNvPr id="626" name="nuNumber: 640" hidden="1">
          <a:extLst>
            <a:ext uri="{FF2B5EF4-FFF2-40B4-BE49-F238E27FC236}">
              <a16:creationId xmlns:a16="http://schemas.microsoft.com/office/drawing/2014/main" id="{E8BAE5AB-5AA1-4547-970A-55FDBC220B69}"/>
            </a:ext>
          </a:extLst>
        </xdr:cNvPr>
        <xdr:cNvSpPr/>
      </xdr:nvSpPr>
      <xdr:spPr bwMode="auto">
        <a:xfrm>
          <a:off x="13624559" y="28189555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133</xdr:row>
      <xdr:rowOff>119380</xdr:rowOff>
    </xdr:from>
    <xdr:to>
      <xdr:col>19</xdr:col>
      <xdr:colOff>63500</xdr:colOff>
      <xdr:row>134</xdr:row>
      <xdr:rowOff>0</xdr:rowOff>
    </xdr:to>
    <xdr:sp macro="" textlink="">
      <xdr:nvSpPr>
        <xdr:cNvPr id="627" name="nuNumber: 641" hidden="1">
          <a:extLst>
            <a:ext uri="{FF2B5EF4-FFF2-40B4-BE49-F238E27FC236}">
              <a16:creationId xmlns:a16="http://schemas.microsoft.com/office/drawing/2014/main" id="{FE089453-FDF4-4EF2-AEB1-A2189B43DCAC}"/>
            </a:ext>
          </a:extLst>
        </xdr:cNvPr>
        <xdr:cNvSpPr/>
      </xdr:nvSpPr>
      <xdr:spPr bwMode="auto">
        <a:xfrm>
          <a:off x="14382750" y="281895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133</xdr:row>
      <xdr:rowOff>119380</xdr:rowOff>
    </xdr:from>
    <xdr:to>
      <xdr:col>20</xdr:col>
      <xdr:colOff>63500</xdr:colOff>
      <xdr:row>134</xdr:row>
      <xdr:rowOff>0</xdr:rowOff>
    </xdr:to>
    <xdr:sp macro="" textlink="">
      <xdr:nvSpPr>
        <xdr:cNvPr id="628" name="nuNumber: 642" hidden="1">
          <a:extLst>
            <a:ext uri="{FF2B5EF4-FFF2-40B4-BE49-F238E27FC236}">
              <a16:creationId xmlns:a16="http://schemas.microsoft.com/office/drawing/2014/main" id="{EDFC9B8F-92D2-40AF-9BEB-CF88635AB010}"/>
            </a:ext>
          </a:extLst>
        </xdr:cNvPr>
        <xdr:cNvSpPr/>
      </xdr:nvSpPr>
      <xdr:spPr bwMode="auto">
        <a:xfrm>
          <a:off x="15135225" y="281895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133</xdr:row>
      <xdr:rowOff>119380</xdr:rowOff>
    </xdr:from>
    <xdr:to>
      <xdr:col>21</xdr:col>
      <xdr:colOff>63500</xdr:colOff>
      <xdr:row>134</xdr:row>
      <xdr:rowOff>0</xdr:rowOff>
    </xdr:to>
    <xdr:sp macro="" textlink="">
      <xdr:nvSpPr>
        <xdr:cNvPr id="629" name="nuNumber: 643" hidden="1">
          <a:extLst>
            <a:ext uri="{FF2B5EF4-FFF2-40B4-BE49-F238E27FC236}">
              <a16:creationId xmlns:a16="http://schemas.microsoft.com/office/drawing/2014/main" id="{49397A6F-4996-44ED-9B31-FB40C0DACEDF}"/>
            </a:ext>
          </a:extLst>
        </xdr:cNvPr>
        <xdr:cNvSpPr/>
      </xdr:nvSpPr>
      <xdr:spPr bwMode="auto">
        <a:xfrm>
          <a:off x="15849600" y="281895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134</xdr:row>
      <xdr:rowOff>119381</xdr:rowOff>
    </xdr:from>
    <xdr:to>
      <xdr:col>8</xdr:col>
      <xdr:colOff>63500</xdr:colOff>
      <xdr:row>135</xdr:row>
      <xdr:rowOff>1</xdr:rowOff>
    </xdr:to>
    <xdr:sp macro="" textlink="">
      <xdr:nvSpPr>
        <xdr:cNvPr id="630" name="nuNumber: 644" hidden="1">
          <a:extLst>
            <a:ext uri="{FF2B5EF4-FFF2-40B4-BE49-F238E27FC236}">
              <a16:creationId xmlns:a16="http://schemas.microsoft.com/office/drawing/2014/main" id="{69FFB439-0571-4561-BA4F-4045D1545200}"/>
            </a:ext>
          </a:extLst>
        </xdr:cNvPr>
        <xdr:cNvSpPr/>
      </xdr:nvSpPr>
      <xdr:spPr bwMode="auto">
        <a:xfrm>
          <a:off x="5562600" y="28399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134</xdr:row>
      <xdr:rowOff>119381</xdr:rowOff>
    </xdr:from>
    <xdr:to>
      <xdr:col>9</xdr:col>
      <xdr:colOff>63500</xdr:colOff>
      <xdr:row>135</xdr:row>
      <xdr:rowOff>1</xdr:rowOff>
    </xdr:to>
    <xdr:sp macro="" textlink="">
      <xdr:nvSpPr>
        <xdr:cNvPr id="631" name="nuNumber: 645" hidden="1">
          <a:extLst>
            <a:ext uri="{FF2B5EF4-FFF2-40B4-BE49-F238E27FC236}">
              <a16:creationId xmlns:a16="http://schemas.microsoft.com/office/drawing/2014/main" id="{1DAF9391-91AA-4ABA-A395-F3D616B5BA98}"/>
            </a:ext>
          </a:extLst>
        </xdr:cNvPr>
        <xdr:cNvSpPr/>
      </xdr:nvSpPr>
      <xdr:spPr bwMode="auto">
        <a:xfrm>
          <a:off x="6467475" y="28399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134</xdr:row>
      <xdr:rowOff>119381</xdr:rowOff>
    </xdr:from>
    <xdr:to>
      <xdr:col>9</xdr:col>
      <xdr:colOff>63500</xdr:colOff>
      <xdr:row>135</xdr:row>
      <xdr:rowOff>1</xdr:rowOff>
    </xdr:to>
    <xdr:sp macro="" textlink="">
      <xdr:nvSpPr>
        <xdr:cNvPr id="632" name="nuNumber: 646" hidden="1">
          <a:extLst>
            <a:ext uri="{FF2B5EF4-FFF2-40B4-BE49-F238E27FC236}">
              <a16:creationId xmlns:a16="http://schemas.microsoft.com/office/drawing/2014/main" id="{4637F832-C73A-4477-BFD1-3EA07F124827}"/>
            </a:ext>
          </a:extLst>
        </xdr:cNvPr>
        <xdr:cNvSpPr/>
      </xdr:nvSpPr>
      <xdr:spPr bwMode="auto">
        <a:xfrm>
          <a:off x="6467475" y="28399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134</xdr:row>
      <xdr:rowOff>119381</xdr:rowOff>
    </xdr:from>
    <xdr:to>
      <xdr:col>10</xdr:col>
      <xdr:colOff>63500</xdr:colOff>
      <xdr:row>135</xdr:row>
      <xdr:rowOff>1</xdr:rowOff>
    </xdr:to>
    <xdr:sp macro="" textlink="">
      <xdr:nvSpPr>
        <xdr:cNvPr id="633" name="nuNumber: 647" hidden="1">
          <a:extLst>
            <a:ext uri="{FF2B5EF4-FFF2-40B4-BE49-F238E27FC236}">
              <a16:creationId xmlns:a16="http://schemas.microsoft.com/office/drawing/2014/main" id="{944ECA55-4D99-48B1-8057-12EF0B32C5D5}"/>
            </a:ext>
          </a:extLst>
        </xdr:cNvPr>
        <xdr:cNvSpPr/>
      </xdr:nvSpPr>
      <xdr:spPr bwMode="auto">
        <a:xfrm>
          <a:off x="7315200" y="28399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134</xdr:row>
      <xdr:rowOff>119381</xdr:rowOff>
    </xdr:from>
    <xdr:to>
      <xdr:col>11</xdr:col>
      <xdr:colOff>63500</xdr:colOff>
      <xdr:row>135</xdr:row>
      <xdr:rowOff>1</xdr:rowOff>
    </xdr:to>
    <xdr:sp macro="" textlink="">
      <xdr:nvSpPr>
        <xdr:cNvPr id="634" name="nuNumber: 648" hidden="1">
          <a:extLst>
            <a:ext uri="{FF2B5EF4-FFF2-40B4-BE49-F238E27FC236}">
              <a16:creationId xmlns:a16="http://schemas.microsoft.com/office/drawing/2014/main" id="{2EAA4BE5-F27D-469D-9C9E-969339EFE943}"/>
            </a:ext>
          </a:extLst>
        </xdr:cNvPr>
        <xdr:cNvSpPr/>
      </xdr:nvSpPr>
      <xdr:spPr bwMode="auto">
        <a:xfrm>
          <a:off x="8105775" y="28399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134</xdr:row>
      <xdr:rowOff>119381</xdr:rowOff>
    </xdr:from>
    <xdr:to>
      <xdr:col>12</xdr:col>
      <xdr:colOff>63500</xdr:colOff>
      <xdr:row>135</xdr:row>
      <xdr:rowOff>1</xdr:rowOff>
    </xdr:to>
    <xdr:sp macro="" textlink="">
      <xdr:nvSpPr>
        <xdr:cNvPr id="635" name="nuNumber: 649" hidden="1">
          <a:extLst>
            <a:ext uri="{FF2B5EF4-FFF2-40B4-BE49-F238E27FC236}">
              <a16:creationId xmlns:a16="http://schemas.microsoft.com/office/drawing/2014/main" id="{6A5FB553-1A29-4060-80E7-53AFC8FE5B5D}"/>
            </a:ext>
          </a:extLst>
        </xdr:cNvPr>
        <xdr:cNvSpPr/>
      </xdr:nvSpPr>
      <xdr:spPr bwMode="auto">
        <a:xfrm>
          <a:off x="8972550" y="28399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134</xdr:row>
      <xdr:rowOff>119381</xdr:rowOff>
    </xdr:from>
    <xdr:to>
      <xdr:col>13</xdr:col>
      <xdr:colOff>63500</xdr:colOff>
      <xdr:row>135</xdr:row>
      <xdr:rowOff>1</xdr:rowOff>
    </xdr:to>
    <xdr:sp macro="" textlink="">
      <xdr:nvSpPr>
        <xdr:cNvPr id="636" name="nuNumber: 650" hidden="1">
          <a:extLst>
            <a:ext uri="{FF2B5EF4-FFF2-40B4-BE49-F238E27FC236}">
              <a16:creationId xmlns:a16="http://schemas.microsoft.com/office/drawing/2014/main" id="{FAF30E67-ED0C-4A8C-9336-D909877D8AC5}"/>
            </a:ext>
          </a:extLst>
        </xdr:cNvPr>
        <xdr:cNvSpPr/>
      </xdr:nvSpPr>
      <xdr:spPr bwMode="auto">
        <a:xfrm>
          <a:off x="9753600" y="28399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134</xdr:row>
      <xdr:rowOff>119381</xdr:rowOff>
    </xdr:from>
    <xdr:to>
      <xdr:col>14</xdr:col>
      <xdr:colOff>63500</xdr:colOff>
      <xdr:row>135</xdr:row>
      <xdr:rowOff>1</xdr:rowOff>
    </xdr:to>
    <xdr:sp macro="" textlink="">
      <xdr:nvSpPr>
        <xdr:cNvPr id="637" name="nuNumber: 651" hidden="1">
          <a:extLst>
            <a:ext uri="{FF2B5EF4-FFF2-40B4-BE49-F238E27FC236}">
              <a16:creationId xmlns:a16="http://schemas.microsoft.com/office/drawing/2014/main" id="{62948DFD-8ADC-4BF2-B56F-81BA49EC2DA5}"/>
            </a:ext>
          </a:extLst>
        </xdr:cNvPr>
        <xdr:cNvSpPr/>
      </xdr:nvSpPr>
      <xdr:spPr bwMode="auto">
        <a:xfrm>
          <a:off x="10515600" y="28399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134</xdr:row>
      <xdr:rowOff>119381</xdr:rowOff>
    </xdr:from>
    <xdr:to>
      <xdr:col>15</xdr:col>
      <xdr:colOff>63500</xdr:colOff>
      <xdr:row>135</xdr:row>
      <xdr:rowOff>1</xdr:rowOff>
    </xdr:to>
    <xdr:sp macro="" textlink="">
      <xdr:nvSpPr>
        <xdr:cNvPr id="638" name="nuNumber: 652" hidden="1">
          <a:extLst>
            <a:ext uri="{FF2B5EF4-FFF2-40B4-BE49-F238E27FC236}">
              <a16:creationId xmlns:a16="http://schemas.microsoft.com/office/drawing/2014/main" id="{06852AD5-45E1-4D89-8AE8-182592E5AD87}"/>
            </a:ext>
          </a:extLst>
        </xdr:cNvPr>
        <xdr:cNvSpPr/>
      </xdr:nvSpPr>
      <xdr:spPr bwMode="auto">
        <a:xfrm>
          <a:off x="11325225" y="28399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134</xdr:row>
      <xdr:rowOff>119381</xdr:rowOff>
    </xdr:from>
    <xdr:to>
      <xdr:col>16</xdr:col>
      <xdr:colOff>63500</xdr:colOff>
      <xdr:row>135</xdr:row>
      <xdr:rowOff>1</xdr:rowOff>
    </xdr:to>
    <xdr:sp macro="" textlink="">
      <xdr:nvSpPr>
        <xdr:cNvPr id="639" name="nuNumber: 653" hidden="1">
          <a:extLst>
            <a:ext uri="{FF2B5EF4-FFF2-40B4-BE49-F238E27FC236}">
              <a16:creationId xmlns:a16="http://schemas.microsoft.com/office/drawing/2014/main" id="{4C8BE547-E893-424E-BBDF-34A2CF95E7EB}"/>
            </a:ext>
          </a:extLst>
        </xdr:cNvPr>
        <xdr:cNvSpPr/>
      </xdr:nvSpPr>
      <xdr:spPr bwMode="auto">
        <a:xfrm>
          <a:off x="12106275" y="28399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134</xdr:row>
      <xdr:rowOff>119381</xdr:rowOff>
    </xdr:from>
    <xdr:to>
      <xdr:col>17</xdr:col>
      <xdr:colOff>63500</xdr:colOff>
      <xdr:row>135</xdr:row>
      <xdr:rowOff>1</xdr:rowOff>
    </xdr:to>
    <xdr:sp macro="" textlink="">
      <xdr:nvSpPr>
        <xdr:cNvPr id="640" name="nuNumber: 654" hidden="1">
          <a:extLst>
            <a:ext uri="{FF2B5EF4-FFF2-40B4-BE49-F238E27FC236}">
              <a16:creationId xmlns:a16="http://schemas.microsoft.com/office/drawing/2014/main" id="{42332D2A-4EEE-4761-93AF-40B3298D49FE}"/>
            </a:ext>
          </a:extLst>
        </xdr:cNvPr>
        <xdr:cNvSpPr/>
      </xdr:nvSpPr>
      <xdr:spPr bwMode="auto">
        <a:xfrm>
          <a:off x="12887325" y="28399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134</xdr:row>
      <xdr:rowOff>119381</xdr:rowOff>
    </xdr:from>
    <xdr:to>
      <xdr:col>18</xdr:col>
      <xdr:colOff>63499</xdr:colOff>
      <xdr:row>135</xdr:row>
      <xdr:rowOff>1</xdr:rowOff>
    </xdr:to>
    <xdr:sp macro="" textlink="">
      <xdr:nvSpPr>
        <xdr:cNvPr id="641" name="nuNumber: 655" hidden="1">
          <a:extLst>
            <a:ext uri="{FF2B5EF4-FFF2-40B4-BE49-F238E27FC236}">
              <a16:creationId xmlns:a16="http://schemas.microsoft.com/office/drawing/2014/main" id="{EB7E08E1-7D19-4099-A50F-57C0CF73C8C4}"/>
            </a:ext>
          </a:extLst>
        </xdr:cNvPr>
        <xdr:cNvSpPr/>
      </xdr:nvSpPr>
      <xdr:spPr bwMode="auto">
        <a:xfrm>
          <a:off x="13624559" y="28399106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134</xdr:row>
      <xdr:rowOff>119381</xdr:rowOff>
    </xdr:from>
    <xdr:to>
      <xdr:col>19</xdr:col>
      <xdr:colOff>63500</xdr:colOff>
      <xdr:row>135</xdr:row>
      <xdr:rowOff>1</xdr:rowOff>
    </xdr:to>
    <xdr:sp macro="" textlink="">
      <xdr:nvSpPr>
        <xdr:cNvPr id="642" name="nuNumber: 656" hidden="1">
          <a:extLst>
            <a:ext uri="{FF2B5EF4-FFF2-40B4-BE49-F238E27FC236}">
              <a16:creationId xmlns:a16="http://schemas.microsoft.com/office/drawing/2014/main" id="{CC76D8C5-CD0F-48EA-B8CF-4ACE3767998A}"/>
            </a:ext>
          </a:extLst>
        </xdr:cNvPr>
        <xdr:cNvSpPr/>
      </xdr:nvSpPr>
      <xdr:spPr bwMode="auto">
        <a:xfrm>
          <a:off x="14382750" y="28399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134</xdr:row>
      <xdr:rowOff>119381</xdr:rowOff>
    </xdr:from>
    <xdr:to>
      <xdr:col>20</xdr:col>
      <xdr:colOff>63500</xdr:colOff>
      <xdr:row>135</xdr:row>
      <xdr:rowOff>1</xdr:rowOff>
    </xdr:to>
    <xdr:sp macro="" textlink="">
      <xdr:nvSpPr>
        <xdr:cNvPr id="643" name="nuNumber: 657" hidden="1">
          <a:extLst>
            <a:ext uri="{FF2B5EF4-FFF2-40B4-BE49-F238E27FC236}">
              <a16:creationId xmlns:a16="http://schemas.microsoft.com/office/drawing/2014/main" id="{C6A55572-5763-4284-AEEE-0DC59E1B39DF}"/>
            </a:ext>
          </a:extLst>
        </xdr:cNvPr>
        <xdr:cNvSpPr/>
      </xdr:nvSpPr>
      <xdr:spPr bwMode="auto">
        <a:xfrm>
          <a:off x="15135225" y="28399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134</xdr:row>
      <xdr:rowOff>119381</xdr:rowOff>
    </xdr:from>
    <xdr:to>
      <xdr:col>21</xdr:col>
      <xdr:colOff>63500</xdr:colOff>
      <xdr:row>135</xdr:row>
      <xdr:rowOff>1</xdr:rowOff>
    </xdr:to>
    <xdr:sp macro="" textlink="">
      <xdr:nvSpPr>
        <xdr:cNvPr id="644" name="nuNumber: 658" hidden="1">
          <a:extLst>
            <a:ext uri="{FF2B5EF4-FFF2-40B4-BE49-F238E27FC236}">
              <a16:creationId xmlns:a16="http://schemas.microsoft.com/office/drawing/2014/main" id="{F518D9FC-D1AC-46F8-A524-3C00F96655F7}"/>
            </a:ext>
          </a:extLst>
        </xdr:cNvPr>
        <xdr:cNvSpPr/>
      </xdr:nvSpPr>
      <xdr:spPr bwMode="auto">
        <a:xfrm>
          <a:off x="15849600" y="28399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135</xdr:row>
      <xdr:rowOff>119379</xdr:rowOff>
    </xdr:from>
    <xdr:to>
      <xdr:col>8</xdr:col>
      <xdr:colOff>63500</xdr:colOff>
      <xdr:row>135</xdr:row>
      <xdr:rowOff>182879</xdr:rowOff>
    </xdr:to>
    <xdr:sp macro="" textlink="">
      <xdr:nvSpPr>
        <xdr:cNvPr id="645" name="nuNumber: 659" hidden="1">
          <a:extLst>
            <a:ext uri="{FF2B5EF4-FFF2-40B4-BE49-F238E27FC236}">
              <a16:creationId xmlns:a16="http://schemas.microsoft.com/office/drawing/2014/main" id="{B01B22D7-0B5E-4258-933C-8A9646176427}"/>
            </a:ext>
          </a:extLst>
        </xdr:cNvPr>
        <xdr:cNvSpPr/>
      </xdr:nvSpPr>
      <xdr:spPr bwMode="auto">
        <a:xfrm>
          <a:off x="5562600" y="286086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135</xdr:row>
      <xdr:rowOff>119379</xdr:rowOff>
    </xdr:from>
    <xdr:to>
      <xdr:col>9</xdr:col>
      <xdr:colOff>63500</xdr:colOff>
      <xdr:row>135</xdr:row>
      <xdr:rowOff>182879</xdr:rowOff>
    </xdr:to>
    <xdr:sp macro="" textlink="">
      <xdr:nvSpPr>
        <xdr:cNvPr id="646" name="nuNumber: 660" hidden="1">
          <a:extLst>
            <a:ext uri="{FF2B5EF4-FFF2-40B4-BE49-F238E27FC236}">
              <a16:creationId xmlns:a16="http://schemas.microsoft.com/office/drawing/2014/main" id="{09EF9452-F5CF-4EAA-A079-0D2D3426EA35}"/>
            </a:ext>
          </a:extLst>
        </xdr:cNvPr>
        <xdr:cNvSpPr/>
      </xdr:nvSpPr>
      <xdr:spPr bwMode="auto">
        <a:xfrm>
          <a:off x="6467475" y="286086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135</xdr:row>
      <xdr:rowOff>119379</xdr:rowOff>
    </xdr:from>
    <xdr:to>
      <xdr:col>9</xdr:col>
      <xdr:colOff>63500</xdr:colOff>
      <xdr:row>135</xdr:row>
      <xdr:rowOff>182879</xdr:rowOff>
    </xdr:to>
    <xdr:sp macro="" textlink="">
      <xdr:nvSpPr>
        <xdr:cNvPr id="647" name="nuNumber: 661" hidden="1">
          <a:extLst>
            <a:ext uri="{FF2B5EF4-FFF2-40B4-BE49-F238E27FC236}">
              <a16:creationId xmlns:a16="http://schemas.microsoft.com/office/drawing/2014/main" id="{E9E0F3F4-0E3F-46E6-95FD-1792D3ECA42F}"/>
            </a:ext>
          </a:extLst>
        </xdr:cNvPr>
        <xdr:cNvSpPr/>
      </xdr:nvSpPr>
      <xdr:spPr bwMode="auto">
        <a:xfrm>
          <a:off x="6467475" y="286086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135</xdr:row>
      <xdr:rowOff>119379</xdr:rowOff>
    </xdr:from>
    <xdr:to>
      <xdr:col>10</xdr:col>
      <xdr:colOff>63500</xdr:colOff>
      <xdr:row>135</xdr:row>
      <xdr:rowOff>182879</xdr:rowOff>
    </xdr:to>
    <xdr:sp macro="" textlink="">
      <xdr:nvSpPr>
        <xdr:cNvPr id="648" name="nuNumber: 662" hidden="1">
          <a:extLst>
            <a:ext uri="{FF2B5EF4-FFF2-40B4-BE49-F238E27FC236}">
              <a16:creationId xmlns:a16="http://schemas.microsoft.com/office/drawing/2014/main" id="{DF12502C-7CA5-406B-B4E1-2370D9937936}"/>
            </a:ext>
          </a:extLst>
        </xdr:cNvPr>
        <xdr:cNvSpPr/>
      </xdr:nvSpPr>
      <xdr:spPr bwMode="auto">
        <a:xfrm>
          <a:off x="7315200" y="286086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135</xdr:row>
      <xdr:rowOff>119379</xdr:rowOff>
    </xdr:from>
    <xdr:to>
      <xdr:col>11</xdr:col>
      <xdr:colOff>63500</xdr:colOff>
      <xdr:row>135</xdr:row>
      <xdr:rowOff>182879</xdr:rowOff>
    </xdr:to>
    <xdr:sp macro="" textlink="">
      <xdr:nvSpPr>
        <xdr:cNvPr id="649" name="nuNumber: 663" hidden="1">
          <a:extLst>
            <a:ext uri="{FF2B5EF4-FFF2-40B4-BE49-F238E27FC236}">
              <a16:creationId xmlns:a16="http://schemas.microsoft.com/office/drawing/2014/main" id="{30CBD2F4-3EF3-4CD6-812C-4D0AE615742D}"/>
            </a:ext>
          </a:extLst>
        </xdr:cNvPr>
        <xdr:cNvSpPr/>
      </xdr:nvSpPr>
      <xdr:spPr bwMode="auto">
        <a:xfrm>
          <a:off x="8105775" y="286086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135</xdr:row>
      <xdr:rowOff>119379</xdr:rowOff>
    </xdr:from>
    <xdr:to>
      <xdr:col>12</xdr:col>
      <xdr:colOff>63500</xdr:colOff>
      <xdr:row>135</xdr:row>
      <xdr:rowOff>182879</xdr:rowOff>
    </xdr:to>
    <xdr:sp macro="" textlink="">
      <xdr:nvSpPr>
        <xdr:cNvPr id="650" name="nuNumber: 664" hidden="1">
          <a:extLst>
            <a:ext uri="{FF2B5EF4-FFF2-40B4-BE49-F238E27FC236}">
              <a16:creationId xmlns:a16="http://schemas.microsoft.com/office/drawing/2014/main" id="{EE08F5B8-E520-4511-A0C7-C9A0440705CA}"/>
            </a:ext>
          </a:extLst>
        </xdr:cNvPr>
        <xdr:cNvSpPr/>
      </xdr:nvSpPr>
      <xdr:spPr bwMode="auto">
        <a:xfrm>
          <a:off x="8972550" y="286086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135</xdr:row>
      <xdr:rowOff>119379</xdr:rowOff>
    </xdr:from>
    <xdr:to>
      <xdr:col>13</xdr:col>
      <xdr:colOff>63500</xdr:colOff>
      <xdr:row>135</xdr:row>
      <xdr:rowOff>182879</xdr:rowOff>
    </xdr:to>
    <xdr:sp macro="" textlink="">
      <xdr:nvSpPr>
        <xdr:cNvPr id="651" name="nuNumber: 665" hidden="1">
          <a:extLst>
            <a:ext uri="{FF2B5EF4-FFF2-40B4-BE49-F238E27FC236}">
              <a16:creationId xmlns:a16="http://schemas.microsoft.com/office/drawing/2014/main" id="{10F87D48-DEF8-481D-8EAC-C358CC944859}"/>
            </a:ext>
          </a:extLst>
        </xdr:cNvPr>
        <xdr:cNvSpPr/>
      </xdr:nvSpPr>
      <xdr:spPr bwMode="auto">
        <a:xfrm>
          <a:off x="9753600" y="286086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135</xdr:row>
      <xdr:rowOff>119379</xdr:rowOff>
    </xdr:from>
    <xdr:to>
      <xdr:col>14</xdr:col>
      <xdr:colOff>63500</xdr:colOff>
      <xdr:row>135</xdr:row>
      <xdr:rowOff>182879</xdr:rowOff>
    </xdr:to>
    <xdr:sp macro="" textlink="">
      <xdr:nvSpPr>
        <xdr:cNvPr id="652" name="nuNumber: 666" hidden="1">
          <a:extLst>
            <a:ext uri="{FF2B5EF4-FFF2-40B4-BE49-F238E27FC236}">
              <a16:creationId xmlns:a16="http://schemas.microsoft.com/office/drawing/2014/main" id="{621642DA-A3C6-41D2-9723-1CF5C2CC76B8}"/>
            </a:ext>
          </a:extLst>
        </xdr:cNvPr>
        <xdr:cNvSpPr/>
      </xdr:nvSpPr>
      <xdr:spPr bwMode="auto">
        <a:xfrm>
          <a:off x="10515600" y="286086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135</xdr:row>
      <xdr:rowOff>119379</xdr:rowOff>
    </xdr:from>
    <xdr:to>
      <xdr:col>15</xdr:col>
      <xdr:colOff>63500</xdr:colOff>
      <xdr:row>135</xdr:row>
      <xdr:rowOff>182879</xdr:rowOff>
    </xdr:to>
    <xdr:sp macro="" textlink="">
      <xdr:nvSpPr>
        <xdr:cNvPr id="653" name="nuNumber: 667" hidden="1">
          <a:extLst>
            <a:ext uri="{FF2B5EF4-FFF2-40B4-BE49-F238E27FC236}">
              <a16:creationId xmlns:a16="http://schemas.microsoft.com/office/drawing/2014/main" id="{BE4FC5F3-BFB2-424A-B7CD-4302983BB69C}"/>
            </a:ext>
          </a:extLst>
        </xdr:cNvPr>
        <xdr:cNvSpPr/>
      </xdr:nvSpPr>
      <xdr:spPr bwMode="auto">
        <a:xfrm>
          <a:off x="11325225" y="286086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135</xdr:row>
      <xdr:rowOff>119379</xdr:rowOff>
    </xdr:from>
    <xdr:to>
      <xdr:col>16</xdr:col>
      <xdr:colOff>63500</xdr:colOff>
      <xdr:row>135</xdr:row>
      <xdr:rowOff>182879</xdr:rowOff>
    </xdr:to>
    <xdr:sp macro="" textlink="">
      <xdr:nvSpPr>
        <xdr:cNvPr id="654" name="nuNumber: 668" hidden="1">
          <a:extLst>
            <a:ext uri="{FF2B5EF4-FFF2-40B4-BE49-F238E27FC236}">
              <a16:creationId xmlns:a16="http://schemas.microsoft.com/office/drawing/2014/main" id="{54FDDA59-568E-408E-A38F-8FD586B45240}"/>
            </a:ext>
          </a:extLst>
        </xdr:cNvPr>
        <xdr:cNvSpPr/>
      </xdr:nvSpPr>
      <xdr:spPr bwMode="auto">
        <a:xfrm>
          <a:off x="12106275" y="286086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135</xdr:row>
      <xdr:rowOff>119379</xdr:rowOff>
    </xdr:from>
    <xdr:to>
      <xdr:col>17</xdr:col>
      <xdr:colOff>63500</xdr:colOff>
      <xdr:row>135</xdr:row>
      <xdr:rowOff>182879</xdr:rowOff>
    </xdr:to>
    <xdr:sp macro="" textlink="">
      <xdr:nvSpPr>
        <xdr:cNvPr id="655" name="nuNumber: 669" hidden="1">
          <a:extLst>
            <a:ext uri="{FF2B5EF4-FFF2-40B4-BE49-F238E27FC236}">
              <a16:creationId xmlns:a16="http://schemas.microsoft.com/office/drawing/2014/main" id="{390696C6-9A4B-4D0B-A376-FCA474C312FB}"/>
            </a:ext>
          </a:extLst>
        </xdr:cNvPr>
        <xdr:cNvSpPr/>
      </xdr:nvSpPr>
      <xdr:spPr bwMode="auto">
        <a:xfrm>
          <a:off x="12887325" y="286086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135</xdr:row>
      <xdr:rowOff>119379</xdr:rowOff>
    </xdr:from>
    <xdr:to>
      <xdr:col>18</xdr:col>
      <xdr:colOff>63499</xdr:colOff>
      <xdr:row>135</xdr:row>
      <xdr:rowOff>182879</xdr:rowOff>
    </xdr:to>
    <xdr:sp macro="" textlink="">
      <xdr:nvSpPr>
        <xdr:cNvPr id="656" name="nuNumber: 670" hidden="1">
          <a:extLst>
            <a:ext uri="{FF2B5EF4-FFF2-40B4-BE49-F238E27FC236}">
              <a16:creationId xmlns:a16="http://schemas.microsoft.com/office/drawing/2014/main" id="{54F9BB55-F844-4ABF-9909-A5248BB97661}"/>
            </a:ext>
          </a:extLst>
        </xdr:cNvPr>
        <xdr:cNvSpPr/>
      </xdr:nvSpPr>
      <xdr:spPr bwMode="auto">
        <a:xfrm>
          <a:off x="13624559" y="28608654"/>
          <a:ext cx="5969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135</xdr:row>
      <xdr:rowOff>119379</xdr:rowOff>
    </xdr:from>
    <xdr:to>
      <xdr:col>19</xdr:col>
      <xdr:colOff>63500</xdr:colOff>
      <xdr:row>135</xdr:row>
      <xdr:rowOff>182879</xdr:rowOff>
    </xdr:to>
    <xdr:sp macro="" textlink="">
      <xdr:nvSpPr>
        <xdr:cNvPr id="657" name="nuNumber: 671" hidden="1">
          <a:extLst>
            <a:ext uri="{FF2B5EF4-FFF2-40B4-BE49-F238E27FC236}">
              <a16:creationId xmlns:a16="http://schemas.microsoft.com/office/drawing/2014/main" id="{DB925957-B70F-4BE2-8DBB-ED80F712FF6F}"/>
            </a:ext>
          </a:extLst>
        </xdr:cNvPr>
        <xdr:cNvSpPr/>
      </xdr:nvSpPr>
      <xdr:spPr bwMode="auto">
        <a:xfrm>
          <a:off x="14382750" y="286086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135</xdr:row>
      <xdr:rowOff>119379</xdr:rowOff>
    </xdr:from>
    <xdr:to>
      <xdr:col>20</xdr:col>
      <xdr:colOff>63500</xdr:colOff>
      <xdr:row>135</xdr:row>
      <xdr:rowOff>182879</xdr:rowOff>
    </xdr:to>
    <xdr:sp macro="" textlink="">
      <xdr:nvSpPr>
        <xdr:cNvPr id="658" name="nuNumber: 672" hidden="1">
          <a:extLst>
            <a:ext uri="{FF2B5EF4-FFF2-40B4-BE49-F238E27FC236}">
              <a16:creationId xmlns:a16="http://schemas.microsoft.com/office/drawing/2014/main" id="{BC5A4A24-D860-4AB9-A030-EF576CD7B393}"/>
            </a:ext>
          </a:extLst>
        </xdr:cNvPr>
        <xdr:cNvSpPr/>
      </xdr:nvSpPr>
      <xdr:spPr bwMode="auto">
        <a:xfrm>
          <a:off x="15135225" y="286086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135</xdr:row>
      <xdr:rowOff>119379</xdr:rowOff>
    </xdr:from>
    <xdr:to>
      <xdr:col>21</xdr:col>
      <xdr:colOff>63500</xdr:colOff>
      <xdr:row>135</xdr:row>
      <xdr:rowOff>182879</xdr:rowOff>
    </xdr:to>
    <xdr:sp macro="" textlink="">
      <xdr:nvSpPr>
        <xdr:cNvPr id="659" name="nuNumber: 673" hidden="1">
          <a:extLst>
            <a:ext uri="{FF2B5EF4-FFF2-40B4-BE49-F238E27FC236}">
              <a16:creationId xmlns:a16="http://schemas.microsoft.com/office/drawing/2014/main" id="{E829FF95-8C51-47D7-8DC4-410E346B5098}"/>
            </a:ext>
          </a:extLst>
        </xdr:cNvPr>
        <xdr:cNvSpPr/>
      </xdr:nvSpPr>
      <xdr:spPr bwMode="auto">
        <a:xfrm>
          <a:off x="15849600" y="286086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136</xdr:row>
      <xdr:rowOff>119380</xdr:rowOff>
    </xdr:from>
    <xdr:to>
      <xdr:col>8</xdr:col>
      <xdr:colOff>63500</xdr:colOff>
      <xdr:row>137</xdr:row>
      <xdr:rowOff>0</xdr:rowOff>
    </xdr:to>
    <xdr:sp macro="" textlink="">
      <xdr:nvSpPr>
        <xdr:cNvPr id="660" name="nuNumber: 674" hidden="1">
          <a:extLst>
            <a:ext uri="{FF2B5EF4-FFF2-40B4-BE49-F238E27FC236}">
              <a16:creationId xmlns:a16="http://schemas.microsoft.com/office/drawing/2014/main" id="{51BD79B5-F13F-4572-919F-FAD7E69BADF5}"/>
            </a:ext>
          </a:extLst>
        </xdr:cNvPr>
        <xdr:cNvSpPr/>
      </xdr:nvSpPr>
      <xdr:spPr bwMode="auto">
        <a:xfrm>
          <a:off x="5562600" y="288182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136</xdr:row>
      <xdr:rowOff>119380</xdr:rowOff>
    </xdr:from>
    <xdr:to>
      <xdr:col>9</xdr:col>
      <xdr:colOff>63500</xdr:colOff>
      <xdr:row>137</xdr:row>
      <xdr:rowOff>0</xdr:rowOff>
    </xdr:to>
    <xdr:sp macro="" textlink="">
      <xdr:nvSpPr>
        <xdr:cNvPr id="661" name="nuNumber: 675" hidden="1">
          <a:extLst>
            <a:ext uri="{FF2B5EF4-FFF2-40B4-BE49-F238E27FC236}">
              <a16:creationId xmlns:a16="http://schemas.microsoft.com/office/drawing/2014/main" id="{EFF22EE5-3965-47A0-BB60-A320A736F228}"/>
            </a:ext>
          </a:extLst>
        </xdr:cNvPr>
        <xdr:cNvSpPr/>
      </xdr:nvSpPr>
      <xdr:spPr bwMode="auto">
        <a:xfrm>
          <a:off x="6467475" y="288182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136</xdr:row>
      <xdr:rowOff>119380</xdr:rowOff>
    </xdr:from>
    <xdr:to>
      <xdr:col>9</xdr:col>
      <xdr:colOff>63500</xdr:colOff>
      <xdr:row>137</xdr:row>
      <xdr:rowOff>0</xdr:rowOff>
    </xdr:to>
    <xdr:sp macro="" textlink="">
      <xdr:nvSpPr>
        <xdr:cNvPr id="662" name="nuNumber: 676" hidden="1">
          <a:extLst>
            <a:ext uri="{FF2B5EF4-FFF2-40B4-BE49-F238E27FC236}">
              <a16:creationId xmlns:a16="http://schemas.microsoft.com/office/drawing/2014/main" id="{8F787D66-037A-40F9-BD7D-29CFDB85D4BF}"/>
            </a:ext>
          </a:extLst>
        </xdr:cNvPr>
        <xdr:cNvSpPr/>
      </xdr:nvSpPr>
      <xdr:spPr bwMode="auto">
        <a:xfrm>
          <a:off x="6467475" y="288182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136</xdr:row>
      <xdr:rowOff>119380</xdr:rowOff>
    </xdr:from>
    <xdr:to>
      <xdr:col>10</xdr:col>
      <xdr:colOff>63500</xdr:colOff>
      <xdr:row>137</xdr:row>
      <xdr:rowOff>0</xdr:rowOff>
    </xdr:to>
    <xdr:sp macro="" textlink="">
      <xdr:nvSpPr>
        <xdr:cNvPr id="663" name="nuNumber: 677" hidden="1">
          <a:extLst>
            <a:ext uri="{FF2B5EF4-FFF2-40B4-BE49-F238E27FC236}">
              <a16:creationId xmlns:a16="http://schemas.microsoft.com/office/drawing/2014/main" id="{BF4CAD0F-C4B7-4FEA-A2E7-EEC3FA438643}"/>
            </a:ext>
          </a:extLst>
        </xdr:cNvPr>
        <xdr:cNvSpPr/>
      </xdr:nvSpPr>
      <xdr:spPr bwMode="auto">
        <a:xfrm>
          <a:off x="7315200" y="288182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136</xdr:row>
      <xdr:rowOff>119380</xdr:rowOff>
    </xdr:from>
    <xdr:to>
      <xdr:col>11</xdr:col>
      <xdr:colOff>63500</xdr:colOff>
      <xdr:row>137</xdr:row>
      <xdr:rowOff>0</xdr:rowOff>
    </xdr:to>
    <xdr:sp macro="" textlink="">
      <xdr:nvSpPr>
        <xdr:cNvPr id="664" name="nuNumber: 678" hidden="1">
          <a:extLst>
            <a:ext uri="{FF2B5EF4-FFF2-40B4-BE49-F238E27FC236}">
              <a16:creationId xmlns:a16="http://schemas.microsoft.com/office/drawing/2014/main" id="{676BF397-C363-46EE-B876-B8F7942EBB31}"/>
            </a:ext>
          </a:extLst>
        </xdr:cNvPr>
        <xdr:cNvSpPr/>
      </xdr:nvSpPr>
      <xdr:spPr bwMode="auto">
        <a:xfrm>
          <a:off x="8105775" y="288182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136</xdr:row>
      <xdr:rowOff>119380</xdr:rowOff>
    </xdr:from>
    <xdr:to>
      <xdr:col>12</xdr:col>
      <xdr:colOff>63500</xdr:colOff>
      <xdr:row>137</xdr:row>
      <xdr:rowOff>0</xdr:rowOff>
    </xdr:to>
    <xdr:sp macro="" textlink="">
      <xdr:nvSpPr>
        <xdr:cNvPr id="665" name="nuNumber: 679" hidden="1">
          <a:extLst>
            <a:ext uri="{FF2B5EF4-FFF2-40B4-BE49-F238E27FC236}">
              <a16:creationId xmlns:a16="http://schemas.microsoft.com/office/drawing/2014/main" id="{128EAD95-A553-4884-9C7E-82AC5C1194E8}"/>
            </a:ext>
          </a:extLst>
        </xdr:cNvPr>
        <xdr:cNvSpPr/>
      </xdr:nvSpPr>
      <xdr:spPr bwMode="auto">
        <a:xfrm>
          <a:off x="8972550" y="288182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136</xdr:row>
      <xdr:rowOff>119380</xdr:rowOff>
    </xdr:from>
    <xdr:to>
      <xdr:col>13</xdr:col>
      <xdr:colOff>63500</xdr:colOff>
      <xdr:row>137</xdr:row>
      <xdr:rowOff>0</xdr:rowOff>
    </xdr:to>
    <xdr:sp macro="" textlink="">
      <xdr:nvSpPr>
        <xdr:cNvPr id="666" name="nuNumber: 680" hidden="1">
          <a:extLst>
            <a:ext uri="{FF2B5EF4-FFF2-40B4-BE49-F238E27FC236}">
              <a16:creationId xmlns:a16="http://schemas.microsoft.com/office/drawing/2014/main" id="{8F3944DA-C5FA-43DF-9BE5-AC0B6C4017E9}"/>
            </a:ext>
          </a:extLst>
        </xdr:cNvPr>
        <xdr:cNvSpPr/>
      </xdr:nvSpPr>
      <xdr:spPr bwMode="auto">
        <a:xfrm>
          <a:off x="9753600" y="288182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136</xdr:row>
      <xdr:rowOff>119380</xdr:rowOff>
    </xdr:from>
    <xdr:to>
      <xdr:col>14</xdr:col>
      <xdr:colOff>63500</xdr:colOff>
      <xdr:row>137</xdr:row>
      <xdr:rowOff>0</xdr:rowOff>
    </xdr:to>
    <xdr:sp macro="" textlink="">
      <xdr:nvSpPr>
        <xdr:cNvPr id="667" name="nuNumber: 681" hidden="1">
          <a:extLst>
            <a:ext uri="{FF2B5EF4-FFF2-40B4-BE49-F238E27FC236}">
              <a16:creationId xmlns:a16="http://schemas.microsoft.com/office/drawing/2014/main" id="{C1B1863E-9938-4243-BA1E-AA3827888CD0}"/>
            </a:ext>
          </a:extLst>
        </xdr:cNvPr>
        <xdr:cNvSpPr/>
      </xdr:nvSpPr>
      <xdr:spPr bwMode="auto">
        <a:xfrm>
          <a:off x="10515600" y="288182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136</xdr:row>
      <xdr:rowOff>119380</xdr:rowOff>
    </xdr:from>
    <xdr:to>
      <xdr:col>15</xdr:col>
      <xdr:colOff>63500</xdr:colOff>
      <xdr:row>137</xdr:row>
      <xdr:rowOff>0</xdr:rowOff>
    </xdr:to>
    <xdr:sp macro="" textlink="">
      <xdr:nvSpPr>
        <xdr:cNvPr id="668" name="nuNumber: 682" hidden="1">
          <a:extLst>
            <a:ext uri="{FF2B5EF4-FFF2-40B4-BE49-F238E27FC236}">
              <a16:creationId xmlns:a16="http://schemas.microsoft.com/office/drawing/2014/main" id="{C7E19817-EFBB-449B-98D8-05E008142FB1}"/>
            </a:ext>
          </a:extLst>
        </xdr:cNvPr>
        <xdr:cNvSpPr/>
      </xdr:nvSpPr>
      <xdr:spPr bwMode="auto">
        <a:xfrm>
          <a:off x="11325225" y="288182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136</xdr:row>
      <xdr:rowOff>119380</xdr:rowOff>
    </xdr:from>
    <xdr:to>
      <xdr:col>16</xdr:col>
      <xdr:colOff>63500</xdr:colOff>
      <xdr:row>137</xdr:row>
      <xdr:rowOff>0</xdr:rowOff>
    </xdr:to>
    <xdr:sp macro="" textlink="">
      <xdr:nvSpPr>
        <xdr:cNvPr id="669" name="nuNumber: 683" hidden="1">
          <a:extLst>
            <a:ext uri="{FF2B5EF4-FFF2-40B4-BE49-F238E27FC236}">
              <a16:creationId xmlns:a16="http://schemas.microsoft.com/office/drawing/2014/main" id="{ACD46F95-04E7-4396-AC24-39B4238B6818}"/>
            </a:ext>
          </a:extLst>
        </xdr:cNvPr>
        <xdr:cNvSpPr/>
      </xdr:nvSpPr>
      <xdr:spPr bwMode="auto">
        <a:xfrm>
          <a:off x="12106275" y="288182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136</xdr:row>
      <xdr:rowOff>119380</xdr:rowOff>
    </xdr:from>
    <xdr:to>
      <xdr:col>17</xdr:col>
      <xdr:colOff>63500</xdr:colOff>
      <xdr:row>137</xdr:row>
      <xdr:rowOff>0</xdr:rowOff>
    </xdr:to>
    <xdr:sp macro="" textlink="">
      <xdr:nvSpPr>
        <xdr:cNvPr id="670" name="nuNumber: 684" hidden="1">
          <a:extLst>
            <a:ext uri="{FF2B5EF4-FFF2-40B4-BE49-F238E27FC236}">
              <a16:creationId xmlns:a16="http://schemas.microsoft.com/office/drawing/2014/main" id="{C0441BBE-83B5-4008-83E2-A6648559D6A8}"/>
            </a:ext>
          </a:extLst>
        </xdr:cNvPr>
        <xdr:cNvSpPr/>
      </xdr:nvSpPr>
      <xdr:spPr bwMode="auto">
        <a:xfrm>
          <a:off x="12887325" y="288182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136</xdr:row>
      <xdr:rowOff>119380</xdr:rowOff>
    </xdr:from>
    <xdr:to>
      <xdr:col>18</xdr:col>
      <xdr:colOff>63499</xdr:colOff>
      <xdr:row>137</xdr:row>
      <xdr:rowOff>0</xdr:rowOff>
    </xdr:to>
    <xdr:sp macro="" textlink="">
      <xdr:nvSpPr>
        <xdr:cNvPr id="671" name="nuNumber: 685" hidden="1">
          <a:extLst>
            <a:ext uri="{FF2B5EF4-FFF2-40B4-BE49-F238E27FC236}">
              <a16:creationId xmlns:a16="http://schemas.microsoft.com/office/drawing/2014/main" id="{EF124F7B-DDFB-40A2-8CEC-4D4AFE8C70C9}"/>
            </a:ext>
          </a:extLst>
        </xdr:cNvPr>
        <xdr:cNvSpPr/>
      </xdr:nvSpPr>
      <xdr:spPr bwMode="auto">
        <a:xfrm>
          <a:off x="13624559" y="28818205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136</xdr:row>
      <xdr:rowOff>119380</xdr:rowOff>
    </xdr:from>
    <xdr:to>
      <xdr:col>19</xdr:col>
      <xdr:colOff>63500</xdr:colOff>
      <xdr:row>137</xdr:row>
      <xdr:rowOff>0</xdr:rowOff>
    </xdr:to>
    <xdr:sp macro="" textlink="">
      <xdr:nvSpPr>
        <xdr:cNvPr id="672" name="nuNumber: 686" hidden="1">
          <a:extLst>
            <a:ext uri="{FF2B5EF4-FFF2-40B4-BE49-F238E27FC236}">
              <a16:creationId xmlns:a16="http://schemas.microsoft.com/office/drawing/2014/main" id="{A5AB760C-58D6-4E63-8FE9-3E3E597ED4F2}"/>
            </a:ext>
          </a:extLst>
        </xdr:cNvPr>
        <xdr:cNvSpPr/>
      </xdr:nvSpPr>
      <xdr:spPr bwMode="auto">
        <a:xfrm>
          <a:off x="14382750" y="288182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136</xdr:row>
      <xdr:rowOff>119380</xdr:rowOff>
    </xdr:from>
    <xdr:to>
      <xdr:col>20</xdr:col>
      <xdr:colOff>63500</xdr:colOff>
      <xdr:row>137</xdr:row>
      <xdr:rowOff>0</xdr:rowOff>
    </xdr:to>
    <xdr:sp macro="" textlink="">
      <xdr:nvSpPr>
        <xdr:cNvPr id="673" name="nuNumber: 687" hidden="1">
          <a:extLst>
            <a:ext uri="{FF2B5EF4-FFF2-40B4-BE49-F238E27FC236}">
              <a16:creationId xmlns:a16="http://schemas.microsoft.com/office/drawing/2014/main" id="{032F0D82-76DF-4EAD-A3B5-FAC69340AD1A}"/>
            </a:ext>
          </a:extLst>
        </xdr:cNvPr>
        <xdr:cNvSpPr/>
      </xdr:nvSpPr>
      <xdr:spPr bwMode="auto">
        <a:xfrm>
          <a:off x="15135225" y="288182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136</xdr:row>
      <xdr:rowOff>119380</xdr:rowOff>
    </xdr:from>
    <xdr:to>
      <xdr:col>21</xdr:col>
      <xdr:colOff>63500</xdr:colOff>
      <xdr:row>137</xdr:row>
      <xdr:rowOff>0</xdr:rowOff>
    </xdr:to>
    <xdr:sp macro="" textlink="">
      <xdr:nvSpPr>
        <xdr:cNvPr id="674" name="nuNumber: 688" hidden="1">
          <a:extLst>
            <a:ext uri="{FF2B5EF4-FFF2-40B4-BE49-F238E27FC236}">
              <a16:creationId xmlns:a16="http://schemas.microsoft.com/office/drawing/2014/main" id="{70550B40-C0EF-4CCA-905A-41F454EC18D5}"/>
            </a:ext>
          </a:extLst>
        </xdr:cNvPr>
        <xdr:cNvSpPr/>
      </xdr:nvSpPr>
      <xdr:spPr bwMode="auto">
        <a:xfrm>
          <a:off x="15849600" y="288182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137</xdr:row>
      <xdr:rowOff>119380</xdr:rowOff>
    </xdr:from>
    <xdr:to>
      <xdr:col>8</xdr:col>
      <xdr:colOff>63500</xdr:colOff>
      <xdr:row>138</xdr:row>
      <xdr:rowOff>0</xdr:rowOff>
    </xdr:to>
    <xdr:sp macro="" textlink="">
      <xdr:nvSpPr>
        <xdr:cNvPr id="675" name="nuNumber: 689" hidden="1">
          <a:extLst>
            <a:ext uri="{FF2B5EF4-FFF2-40B4-BE49-F238E27FC236}">
              <a16:creationId xmlns:a16="http://schemas.microsoft.com/office/drawing/2014/main" id="{68EBDA50-F70F-4DAE-96FE-F21C4B740AB1}"/>
            </a:ext>
          </a:extLst>
        </xdr:cNvPr>
        <xdr:cNvSpPr/>
      </xdr:nvSpPr>
      <xdr:spPr bwMode="auto">
        <a:xfrm>
          <a:off x="5562600" y="290277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137</xdr:row>
      <xdr:rowOff>119380</xdr:rowOff>
    </xdr:from>
    <xdr:to>
      <xdr:col>9</xdr:col>
      <xdr:colOff>63500</xdr:colOff>
      <xdr:row>138</xdr:row>
      <xdr:rowOff>0</xdr:rowOff>
    </xdr:to>
    <xdr:sp macro="" textlink="">
      <xdr:nvSpPr>
        <xdr:cNvPr id="676" name="nuNumber: 690" hidden="1">
          <a:extLst>
            <a:ext uri="{FF2B5EF4-FFF2-40B4-BE49-F238E27FC236}">
              <a16:creationId xmlns:a16="http://schemas.microsoft.com/office/drawing/2014/main" id="{99955445-9EC8-4F36-AB1A-C63743F73786}"/>
            </a:ext>
          </a:extLst>
        </xdr:cNvPr>
        <xdr:cNvSpPr/>
      </xdr:nvSpPr>
      <xdr:spPr bwMode="auto">
        <a:xfrm>
          <a:off x="6467475" y="290277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137</xdr:row>
      <xdr:rowOff>119380</xdr:rowOff>
    </xdr:from>
    <xdr:to>
      <xdr:col>9</xdr:col>
      <xdr:colOff>63500</xdr:colOff>
      <xdr:row>138</xdr:row>
      <xdr:rowOff>0</xdr:rowOff>
    </xdr:to>
    <xdr:sp macro="" textlink="">
      <xdr:nvSpPr>
        <xdr:cNvPr id="677" name="nuNumber: 691" hidden="1">
          <a:extLst>
            <a:ext uri="{FF2B5EF4-FFF2-40B4-BE49-F238E27FC236}">
              <a16:creationId xmlns:a16="http://schemas.microsoft.com/office/drawing/2014/main" id="{2CFD841D-515D-410C-A25A-DA083A76A756}"/>
            </a:ext>
          </a:extLst>
        </xdr:cNvPr>
        <xdr:cNvSpPr/>
      </xdr:nvSpPr>
      <xdr:spPr bwMode="auto">
        <a:xfrm>
          <a:off x="6467475" y="290277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137</xdr:row>
      <xdr:rowOff>119380</xdr:rowOff>
    </xdr:from>
    <xdr:to>
      <xdr:col>10</xdr:col>
      <xdr:colOff>63500</xdr:colOff>
      <xdr:row>138</xdr:row>
      <xdr:rowOff>0</xdr:rowOff>
    </xdr:to>
    <xdr:sp macro="" textlink="">
      <xdr:nvSpPr>
        <xdr:cNvPr id="678" name="nuNumber: 692" hidden="1">
          <a:extLst>
            <a:ext uri="{FF2B5EF4-FFF2-40B4-BE49-F238E27FC236}">
              <a16:creationId xmlns:a16="http://schemas.microsoft.com/office/drawing/2014/main" id="{78976ECB-25C5-4F78-BA83-36ECC11CE133}"/>
            </a:ext>
          </a:extLst>
        </xdr:cNvPr>
        <xdr:cNvSpPr/>
      </xdr:nvSpPr>
      <xdr:spPr bwMode="auto">
        <a:xfrm>
          <a:off x="7315200" y="290277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137</xdr:row>
      <xdr:rowOff>119380</xdr:rowOff>
    </xdr:from>
    <xdr:to>
      <xdr:col>11</xdr:col>
      <xdr:colOff>63500</xdr:colOff>
      <xdr:row>138</xdr:row>
      <xdr:rowOff>0</xdr:rowOff>
    </xdr:to>
    <xdr:sp macro="" textlink="">
      <xdr:nvSpPr>
        <xdr:cNvPr id="679" name="nuNumber: 693" hidden="1">
          <a:extLst>
            <a:ext uri="{FF2B5EF4-FFF2-40B4-BE49-F238E27FC236}">
              <a16:creationId xmlns:a16="http://schemas.microsoft.com/office/drawing/2014/main" id="{54A27C08-D998-46AC-875B-5B8F621EFA27}"/>
            </a:ext>
          </a:extLst>
        </xdr:cNvPr>
        <xdr:cNvSpPr/>
      </xdr:nvSpPr>
      <xdr:spPr bwMode="auto">
        <a:xfrm>
          <a:off x="8105775" y="290277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137</xdr:row>
      <xdr:rowOff>119380</xdr:rowOff>
    </xdr:from>
    <xdr:to>
      <xdr:col>12</xdr:col>
      <xdr:colOff>63500</xdr:colOff>
      <xdr:row>138</xdr:row>
      <xdr:rowOff>0</xdr:rowOff>
    </xdr:to>
    <xdr:sp macro="" textlink="">
      <xdr:nvSpPr>
        <xdr:cNvPr id="680" name="nuNumber: 694" hidden="1">
          <a:extLst>
            <a:ext uri="{FF2B5EF4-FFF2-40B4-BE49-F238E27FC236}">
              <a16:creationId xmlns:a16="http://schemas.microsoft.com/office/drawing/2014/main" id="{B4E1B77A-2F75-4425-AEEB-07B8BB41DFA7}"/>
            </a:ext>
          </a:extLst>
        </xdr:cNvPr>
        <xdr:cNvSpPr/>
      </xdr:nvSpPr>
      <xdr:spPr bwMode="auto">
        <a:xfrm>
          <a:off x="8972550" y="290277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137</xdr:row>
      <xdr:rowOff>119380</xdr:rowOff>
    </xdr:from>
    <xdr:to>
      <xdr:col>13</xdr:col>
      <xdr:colOff>63500</xdr:colOff>
      <xdr:row>138</xdr:row>
      <xdr:rowOff>0</xdr:rowOff>
    </xdr:to>
    <xdr:sp macro="" textlink="">
      <xdr:nvSpPr>
        <xdr:cNvPr id="681" name="nuNumber: 695" hidden="1">
          <a:extLst>
            <a:ext uri="{FF2B5EF4-FFF2-40B4-BE49-F238E27FC236}">
              <a16:creationId xmlns:a16="http://schemas.microsoft.com/office/drawing/2014/main" id="{A60390E3-7A93-4DDA-9200-E8EDBC21BB30}"/>
            </a:ext>
          </a:extLst>
        </xdr:cNvPr>
        <xdr:cNvSpPr/>
      </xdr:nvSpPr>
      <xdr:spPr bwMode="auto">
        <a:xfrm>
          <a:off x="9753600" y="290277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137</xdr:row>
      <xdr:rowOff>119380</xdr:rowOff>
    </xdr:from>
    <xdr:to>
      <xdr:col>14</xdr:col>
      <xdr:colOff>63500</xdr:colOff>
      <xdr:row>138</xdr:row>
      <xdr:rowOff>0</xdr:rowOff>
    </xdr:to>
    <xdr:sp macro="" textlink="">
      <xdr:nvSpPr>
        <xdr:cNvPr id="682" name="nuNumber: 696" hidden="1">
          <a:extLst>
            <a:ext uri="{FF2B5EF4-FFF2-40B4-BE49-F238E27FC236}">
              <a16:creationId xmlns:a16="http://schemas.microsoft.com/office/drawing/2014/main" id="{8CD4E385-830F-45CE-A476-3A91FB7A7864}"/>
            </a:ext>
          </a:extLst>
        </xdr:cNvPr>
        <xdr:cNvSpPr/>
      </xdr:nvSpPr>
      <xdr:spPr bwMode="auto">
        <a:xfrm>
          <a:off x="10515600" y="290277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137</xdr:row>
      <xdr:rowOff>119380</xdr:rowOff>
    </xdr:from>
    <xdr:to>
      <xdr:col>15</xdr:col>
      <xdr:colOff>63500</xdr:colOff>
      <xdr:row>138</xdr:row>
      <xdr:rowOff>0</xdr:rowOff>
    </xdr:to>
    <xdr:sp macro="" textlink="">
      <xdr:nvSpPr>
        <xdr:cNvPr id="683" name="nuNumber: 697" hidden="1">
          <a:extLst>
            <a:ext uri="{FF2B5EF4-FFF2-40B4-BE49-F238E27FC236}">
              <a16:creationId xmlns:a16="http://schemas.microsoft.com/office/drawing/2014/main" id="{C5D69E6E-6A64-4C60-9A65-A80D18364D8F}"/>
            </a:ext>
          </a:extLst>
        </xdr:cNvPr>
        <xdr:cNvSpPr/>
      </xdr:nvSpPr>
      <xdr:spPr bwMode="auto">
        <a:xfrm>
          <a:off x="11325225" y="290277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137</xdr:row>
      <xdr:rowOff>119380</xdr:rowOff>
    </xdr:from>
    <xdr:to>
      <xdr:col>16</xdr:col>
      <xdr:colOff>63500</xdr:colOff>
      <xdr:row>138</xdr:row>
      <xdr:rowOff>0</xdr:rowOff>
    </xdr:to>
    <xdr:sp macro="" textlink="">
      <xdr:nvSpPr>
        <xdr:cNvPr id="684" name="nuNumber: 698" hidden="1">
          <a:extLst>
            <a:ext uri="{FF2B5EF4-FFF2-40B4-BE49-F238E27FC236}">
              <a16:creationId xmlns:a16="http://schemas.microsoft.com/office/drawing/2014/main" id="{337E29CA-6FB0-4B4D-9789-7283E911661B}"/>
            </a:ext>
          </a:extLst>
        </xdr:cNvPr>
        <xdr:cNvSpPr/>
      </xdr:nvSpPr>
      <xdr:spPr bwMode="auto">
        <a:xfrm>
          <a:off x="12106275" y="290277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137</xdr:row>
      <xdr:rowOff>119380</xdr:rowOff>
    </xdr:from>
    <xdr:to>
      <xdr:col>17</xdr:col>
      <xdr:colOff>63500</xdr:colOff>
      <xdr:row>138</xdr:row>
      <xdr:rowOff>0</xdr:rowOff>
    </xdr:to>
    <xdr:sp macro="" textlink="">
      <xdr:nvSpPr>
        <xdr:cNvPr id="685" name="nuNumber: 699" hidden="1">
          <a:extLst>
            <a:ext uri="{FF2B5EF4-FFF2-40B4-BE49-F238E27FC236}">
              <a16:creationId xmlns:a16="http://schemas.microsoft.com/office/drawing/2014/main" id="{2EADC717-38DF-4770-A160-8BC20FCCACDB}"/>
            </a:ext>
          </a:extLst>
        </xdr:cNvPr>
        <xdr:cNvSpPr/>
      </xdr:nvSpPr>
      <xdr:spPr bwMode="auto">
        <a:xfrm>
          <a:off x="12887325" y="290277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137</xdr:row>
      <xdr:rowOff>119380</xdr:rowOff>
    </xdr:from>
    <xdr:to>
      <xdr:col>18</xdr:col>
      <xdr:colOff>63499</xdr:colOff>
      <xdr:row>138</xdr:row>
      <xdr:rowOff>0</xdr:rowOff>
    </xdr:to>
    <xdr:sp macro="" textlink="">
      <xdr:nvSpPr>
        <xdr:cNvPr id="686" name="nuNumber: 700" hidden="1">
          <a:extLst>
            <a:ext uri="{FF2B5EF4-FFF2-40B4-BE49-F238E27FC236}">
              <a16:creationId xmlns:a16="http://schemas.microsoft.com/office/drawing/2014/main" id="{33D3677E-6DD8-4550-9B1B-AED1A109E703}"/>
            </a:ext>
          </a:extLst>
        </xdr:cNvPr>
        <xdr:cNvSpPr/>
      </xdr:nvSpPr>
      <xdr:spPr bwMode="auto">
        <a:xfrm>
          <a:off x="13624559" y="29027755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137</xdr:row>
      <xdr:rowOff>119380</xdr:rowOff>
    </xdr:from>
    <xdr:to>
      <xdr:col>19</xdr:col>
      <xdr:colOff>63500</xdr:colOff>
      <xdr:row>138</xdr:row>
      <xdr:rowOff>0</xdr:rowOff>
    </xdr:to>
    <xdr:sp macro="" textlink="">
      <xdr:nvSpPr>
        <xdr:cNvPr id="687" name="nuNumber: 701" hidden="1">
          <a:extLst>
            <a:ext uri="{FF2B5EF4-FFF2-40B4-BE49-F238E27FC236}">
              <a16:creationId xmlns:a16="http://schemas.microsoft.com/office/drawing/2014/main" id="{4078E8F1-5BC3-479D-8846-7261D6B27483}"/>
            </a:ext>
          </a:extLst>
        </xdr:cNvPr>
        <xdr:cNvSpPr/>
      </xdr:nvSpPr>
      <xdr:spPr bwMode="auto">
        <a:xfrm>
          <a:off x="14382750" y="290277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137</xdr:row>
      <xdr:rowOff>119380</xdr:rowOff>
    </xdr:from>
    <xdr:to>
      <xdr:col>20</xdr:col>
      <xdr:colOff>63500</xdr:colOff>
      <xdr:row>138</xdr:row>
      <xdr:rowOff>0</xdr:rowOff>
    </xdr:to>
    <xdr:sp macro="" textlink="">
      <xdr:nvSpPr>
        <xdr:cNvPr id="688" name="nuNumber: 702" hidden="1">
          <a:extLst>
            <a:ext uri="{FF2B5EF4-FFF2-40B4-BE49-F238E27FC236}">
              <a16:creationId xmlns:a16="http://schemas.microsoft.com/office/drawing/2014/main" id="{534AE448-1657-430B-BE5B-C2F8FB14FACC}"/>
            </a:ext>
          </a:extLst>
        </xdr:cNvPr>
        <xdr:cNvSpPr/>
      </xdr:nvSpPr>
      <xdr:spPr bwMode="auto">
        <a:xfrm>
          <a:off x="15135225" y="290277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137</xdr:row>
      <xdr:rowOff>119380</xdr:rowOff>
    </xdr:from>
    <xdr:to>
      <xdr:col>21</xdr:col>
      <xdr:colOff>63500</xdr:colOff>
      <xdr:row>138</xdr:row>
      <xdr:rowOff>0</xdr:rowOff>
    </xdr:to>
    <xdr:sp macro="" textlink="">
      <xdr:nvSpPr>
        <xdr:cNvPr id="689" name="nuNumber: 703" hidden="1">
          <a:extLst>
            <a:ext uri="{FF2B5EF4-FFF2-40B4-BE49-F238E27FC236}">
              <a16:creationId xmlns:a16="http://schemas.microsoft.com/office/drawing/2014/main" id="{18C23A30-0482-4828-AAA3-10FDDDF0F264}"/>
            </a:ext>
          </a:extLst>
        </xdr:cNvPr>
        <xdr:cNvSpPr/>
      </xdr:nvSpPr>
      <xdr:spPr bwMode="auto">
        <a:xfrm>
          <a:off x="15849600" y="290277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140</xdr:row>
      <xdr:rowOff>119380</xdr:rowOff>
    </xdr:from>
    <xdr:to>
      <xdr:col>8</xdr:col>
      <xdr:colOff>63500</xdr:colOff>
      <xdr:row>141</xdr:row>
      <xdr:rowOff>0</xdr:rowOff>
    </xdr:to>
    <xdr:sp macro="" textlink="">
      <xdr:nvSpPr>
        <xdr:cNvPr id="690" name="nuNumber: 704" hidden="1">
          <a:extLst>
            <a:ext uri="{FF2B5EF4-FFF2-40B4-BE49-F238E27FC236}">
              <a16:creationId xmlns:a16="http://schemas.microsoft.com/office/drawing/2014/main" id="{A3EA83BE-B8F6-4E12-9B60-3FFDF916C236}"/>
            </a:ext>
          </a:extLst>
        </xdr:cNvPr>
        <xdr:cNvSpPr/>
      </xdr:nvSpPr>
      <xdr:spPr bwMode="auto">
        <a:xfrm>
          <a:off x="5562600" y="29656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140</xdr:row>
      <xdr:rowOff>119380</xdr:rowOff>
    </xdr:from>
    <xdr:to>
      <xdr:col>9</xdr:col>
      <xdr:colOff>63500</xdr:colOff>
      <xdr:row>141</xdr:row>
      <xdr:rowOff>0</xdr:rowOff>
    </xdr:to>
    <xdr:sp macro="" textlink="">
      <xdr:nvSpPr>
        <xdr:cNvPr id="691" name="nuNumber: 705" hidden="1">
          <a:extLst>
            <a:ext uri="{FF2B5EF4-FFF2-40B4-BE49-F238E27FC236}">
              <a16:creationId xmlns:a16="http://schemas.microsoft.com/office/drawing/2014/main" id="{34A5091A-8FA8-41C4-8A07-6CCA5465C972}"/>
            </a:ext>
          </a:extLst>
        </xdr:cNvPr>
        <xdr:cNvSpPr/>
      </xdr:nvSpPr>
      <xdr:spPr bwMode="auto">
        <a:xfrm>
          <a:off x="6467475" y="29656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140</xdr:row>
      <xdr:rowOff>119380</xdr:rowOff>
    </xdr:from>
    <xdr:to>
      <xdr:col>10</xdr:col>
      <xdr:colOff>63500</xdr:colOff>
      <xdr:row>141</xdr:row>
      <xdr:rowOff>0</xdr:rowOff>
    </xdr:to>
    <xdr:sp macro="" textlink="">
      <xdr:nvSpPr>
        <xdr:cNvPr id="692" name="nuNumber: 706" hidden="1">
          <a:extLst>
            <a:ext uri="{FF2B5EF4-FFF2-40B4-BE49-F238E27FC236}">
              <a16:creationId xmlns:a16="http://schemas.microsoft.com/office/drawing/2014/main" id="{7053EA72-EBB7-40B8-B2E8-6C91FD6162C6}"/>
            </a:ext>
          </a:extLst>
        </xdr:cNvPr>
        <xdr:cNvSpPr/>
      </xdr:nvSpPr>
      <xdr:spPr bwMode="auto">
        <a:xfrm>
          <a:off x="7315200" y="29656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140</xdr:row>
      <xdr:rowOff>119380</xdr:rowOff>
    </xdr:from>
    <xdr:to>
      <xdr:col>11</xdr:col>
      <xdr:colOff>63500</xdr:colOff>
      <xdr:row>141</xdr:row>
      <xdr:rowOff>0</xdr:rowOff>
    </xdr:to>
    <xdr:sp macro="" textlink="">
      <xdr:nvSpPr>
        <xdr:cNvPr id="693" name="nuNumber: 707" hidden="1">
          <a:extLst>
            <a:ext uri="{FF2B5EF4-FFF2-40B4-BE49-F238E27FC236}">
              <a16:creationId xmlns:a16="http://schemas.microsoft.com/office/drawing/2014/main" id="{3367195B-B66D-441E-ABE3-E1315784A13B}"/>
            </a:ext>
          </a:extLst>
        </xdr:cNvPr>
        <xdr:cNvSpPr/>
      </xdr:nvSpPr>
      <xdr:spPr bwMode="auto">
        <a:xfrm>
          <a:off x="8105775" y="29656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140</xdr:row>
      <xdr:rowOff>119380</xdr:rowOff>
    </xdr:from>
    <xdr:to>
      <xdr:col>12</xdr:col>
      <xdr:colOff>63500</xdr:colOff>
      <xdr:row>141</xdr:row>
      <xdr:rowOff>0</xdr:rowOff>
    </xdr:to>
    <xdr:sp macro="" textlink="">
      <xdr:nvSpPr>
        <xdr:cNvPr id="694" name="nuNumber: 708" hidden="1">
          <a:extLst>
            <a:ext uri="{FF2B5EF4-FFF2-40B4-BE49-F238E27FC236}">
              <a16:creationId xmlns:a16="http://schemas.microsoft.com/office/drawing/2014/main" id="{E870C035-64AB-4D1A-8A04-5D880E902B84}"/>
            </a:ext>
          </a:extLst>
        </xdr:cNvPr>
        <xdr:cNvSpPr/>
      </xdr:nvSpPr>
      <xdr:spPr bwMode="auto">
        <a:xfrm>
          <a:off x="8972550" y="29656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140</xdr:row>
      <xdr:rowOff>119380</xdr:rowOff>
    </xdr:from>
    <xdr:to>
      <xdr:col>13</xdr:col>
      <xdr:colOff>63500</xdr:colOff>
      <xdr:row>141</xdr:row>
      <xdr:rowOff>0</xdr:rowOff>
    </xdr:to>
    <xdr:sp macro="" textlink="">
      <xdr:nvSpPr>
        <xdr:cNvPr id="695" name="nuNumber: 709" hidden="1">
          <a:extLst>
            <a:ext uri="{FF2B5EF4-FFF2-40B4-BE49-F238E27FC236}">
              <a16:creationId xmlns:a16="http://schemas.microsoft.com/office/drawing/2014/main" id="{1B2A098B-E6CB-455E-A0B0-8E58470D5FD0}"/>
            </a:ext>
          </a:extLst>
        </xdr:cNvPr>
        <xdr:cNvSpPr/>
      </xdr:nvSpPr>
      <xdr:spPr bwMode="auto">
        <a:xfrm>
          <a:off x="9753600" y="29656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140</xdr:row>
      <xdr:rowOff>119380</xdr:rowOff>
    </xdr:from>
    <xdr:to>
      <xdr:col>14</xdr:col>
      <xdr:colOff>63500</xdr:colOff>
      <xdr:row>141</xdr:row>
      <xdr:rowOff>0</xdr:rowOff>
    </xdr:to>
    <xdr:sp macro="" textlink="">
      <xdr:nvSpPr>
        <xdr:cNvPr id="696" name="nuNumber: 710" hidden="1">
          <a:extLst>
            <a:ext uri="{FF2B5EF4-FFF2-40B4-BE49-F238E27FC236}">
              <a16:creationId xmlns:a16="http://schemas.microsoft.com/office/drawing/2014/main" id="{A7701FA1-8F28-407B-9F91-3AC28C4FBF05}"/>
            </a:ext>
          </a:extLst>
        </xdr:cNvPr>
        <xdr:cNvSpPr/>
      </xdr:nvSpPr>
      <xdr:spPr bwMode="auto">
        <a:xfrm>
          <a:off x="10515600" y="29656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140</xdr:row>
      <xdr:rowOff>119380</xdr:rowOff>
    </xdr:from>
    <xdr:to>
      <xdr:col>15</xdr:col>
      <xdr:colOff>63500</xdr:colOff>
      <xdr:row>141</xdr:row>
      <xdr:rowOff>0</xdr:rowOff>
    </xdr:to>
    <xdr:sp macro="" textlink="">
      <xdr:nvSpPr>
        <xdr:cNvPr id="697" name="nuNumber: 711" hidden="1">
          <a:extLst>
            <a:ext uri="{FF2B5EF4-FFF2-40B4-BE49-F238E27FC236}">
              <a16:creationId xmlns:a16="http://schemas.microsoft.com/office/drawing/2014/main" id="{949C70C7-8419-434A-93E7-EAF0855E3826}"/>
            </a:ext>
          </a:extLst>
        </xdr:cNvPr>
        <xdr:cNvSpPr/>
      </xdr:nvSpPr>
      <xdr:spPr bwMode="auto">
        <a:xfrm>
          <a:off x="11325225" y="29656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140</xdr:row>
      <xdr:rowOff>119380</xdr:rowOff>
    </xdr:from>
    <xdr:to>
      <xdr:col>16</xdr:col>
      <xdr:colOff>63500</xdr:colOff>
      <xdr:row>141</xdr:row>
      <xdr:rowOff>0</xdr:rowOff>
    </xdr:to>
    <xdr:sp macro="" textlink="">
      <xdr:nvSpPr>
        <xdr:cNvPr id="698" name="nuNumber: 712" hidden="1">
          <a:extLst>
            <a:ext uri="{FF2B5EF4-FFF2-40B4-BE49-F238E27FC236}">
              <a16:creationId xmlns:a16="http://schemas.microsoft.com/office/drawing/2014/main" id="{83396651-B8A0-40E0-878A-F0DC8E6F0A62}"/>
            </a:ext>
          </a:extLst>
        </xdr:cNvPr>
        <xdr:cNvSpPr/>
      </xdr:nvSpPr>
      <xdr:spPr bwMode="auto">
        <a:xfrm>
          <a:off x="12106275" y="29656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140</xdr:row>
      <xdr:rowOff>119380</xdr:rowOff>
    </xdr:from>
    <xdr:to>
      <xdr:col>17</xdr:col>
      <xdr:colOff>63500</xdr:colOff>
      <xdr:row>141</xdr:row>
      <xdr:rowOff>0</xdr:rowOff>
    </xdr:to>
    <xdr:sp macro="" textlink="">
      <xdr:nvSpPr>
        <xdr:cNvPr id="699" name="nuNumber: 713" hidden="1">
          <a:extLst>
            <a:ext uri="{FF2B5EF4-FFF2-40B4-BE49-F238E27FC236}">
              <a16:creationId xmlns:a16="http://schemas.microsoft.com/office/drawing/2014/main" id="{7D52CA01-8F34-4B70-88D5-8AE79438181B}"/>
            </a:ext>
          </a:extLst>
        </xdr:cNvPr>
        <xdr:cNvSpPr/>
      </xdr:nvSpPr>
      <xdr:spPr bwMode="auto">
        <a:xfrm>
          <a:off x="12887325" y="29656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140</xdr:row>
      <xdr:rowOff>119380</xdr:rowOff>
    </xdr:from>
    <xdr:to>
      <xdr:col>18</xdr:col>
      <xdr:colOff>63499</xdr:colOff>
      <xdr:row>141</xdr:row>
      <xdr:rowOff>0</xdr:rowOff>
    </xdr:to>
    <xdr:sp macro="" textlink="">
      <xdr:nvSpPr>
        <xdr:cNvPr id="700" name="nuNumber: 714" hidden="1">
          <a:extLst>
            <a:ext uri="{FF2B5EF4-FFF2-40B4-BE49-F238E27FC236}">
              <a16:creationId xmlns:a16="http://schemas.microsoft.com/office/drawing/2014/main" id="{18D34BB9-220B-455D-A2D9-AA8B892837B0}"/>
            </a:ext>
          </a:extLst>
        </xdr:cNvPr>
        <xdr:cNvSpPr/>
      </xdr:nvSpPr>
      <xdr:spPr bwMode="auto">
        <a:xfrm>
          <a:off x="13624559" y="29656405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140</xdr:row>
      <xdr:rowOff>119380</xdr:rowOff>
    </xdr:from>
    <xdr:to>
      <xdr:col>19</xdr:col>
      <xdr:colOff>63500</xdr:colOff>
      <xdr:row>141</xdr:row>
      <xdr:rowOff>0</xdr:rowOff>
    </xdr:to>
    <xdr:sp macro="" textlink="">
      <xdr:nvSpPr>
        <xdr:cNvPr id="701" name="nuNumber: 715" hidden="1">
          <a:extLst>
            <a:ext uri="{FF2B5EF4-FFF2-40B4-BE49-F238E27FC236}">
              <a16:creationId xmlns:a16="http://schemas.microsoft.com/office/drawing/2014/main" id="{9BF1F66F-2904-44D9-B3DB-83B322EB7266}"/>
            </a:ext>
          </a:extLst>
        </xdr:cNvPr>
        <xdr:cNvSpPr/>
      </xdr:nvSpPr>
      <xdr:spPr bwMode="auto">
        <a:xfrm>
          <a:off x="14382750" y="29656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140</xdr:row>
      <xdr:rowOff>119380</xdr:rowOff>
    </xdr:from>
    <xdr:to>
      <xdr:col>20</xdr:col>
      <xdr:colOff>63500</xdr:colOff>
      <xdr:row>141</xdr:row>
      <xdr:rowOff>0</xdr:rowOff>
    </xdr:to>
    <xdr:sp macro="" textlink="">
      <xdr:nvSpPr>
        <xdr:cNvPr id="702" name="nuNumber: 716" hidden="1">
          <a:extLst>
            <a:ext uri="{FF2B5EF4-FFF2-40B4-BE49-F238E27FC236}">
              <a16:creationId xmlns:a16="http://schemas.microsoft.com/office/drawing/2014/main" id="{074E2B04-DD7F-4C97-98EA-8E61B7F1EED0}"/>
            </a:ext>
          </a:extLst>
        </xdr:cNvPr>
        <xdr:cNvSpPr/>
      </xdr:nvSpPr>
      <xdr:spPr bwMode="auto">
        <a:xfrm>
          <a:off x="15135225" y="29656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140</xdr:row>
      <xdr:rowOff>119380</xdr:rowOff>
    </xdr:from>
    <xdr:to>
      <xdr:col>21</xdr:col>
      <xdr:colOff>63500</xdr:colOff>
      <xdr:row>141</xdr:row>
      <xdr:rowOff>0</xdr:rowOff>
    </xdr:to>
    <xdr:sp macro="" textlink="">
      <xdr:nvSpPr>
        <xdr:cNvPr id="703" name="nuNumber: 717" hidden="1">
          <a:extLst>
            <a:ext uri="{FF2B5EF4-FFF2-40B4-BE49-F238E27FC236}">
              <a16:creationId xmlns:a16="http://schemas.microsoft.com/office/drawing/2014/main" id="{EEF8FB7B-E20A-4258-B842-9D4C7AE8F858}"/>
            </a:ext>
          </a:extLst>
        </xdr:cNvPr>
        <xdr:cNvSpPr/>
      </xdr:nvSpPr>
      <xdr:spPr bwMode="auto">
        <a:xfrm>
          <a:off x="15849600" y="296564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141</xdr:row>
      <xdr:rowOff>119381</xdr:rowOff>
    </xdr:from>
    <xdr:to>
      <xdr:col>10</xdr:col>
      <xdr:colOff>63500</xdr:colOff>
      <xdr:row>142</xdr:row>
      <xdr:rowOff>1</xdr:rowOff>
    </xdr:to>
    <xdr:sp macro="" textlink="">
      <xdr:nvSpPr>
        <xdr:cNvPr id="704" name="nuNumber: 718" hidden="1">
          <a:extLst>
            <a:ext uri="{FF2B5EF4-FFF2-40B4-BE49-F238E27FC236}">
              <a16:creationId xmlns:a16="http://schemas.microsoft.com/office/drawing/2014/main" id="{B9F4EDF5-7FCA-4CFB-B784-C0570D0F7772}"/>
            </a:ext>
          </a:extLst>
        </xdr:cNvPr>
        <xdr:cNvSpPr/>
      </xdr:nvSpPr>
      <xdr:spPr bwMode="auto">
        <a:xfrm>
          <a:off x="7315200" y="29865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141</xdr:row>
      <xdr:rowOff>119381</xdr:rowOff>
    </xdr:from>
    <xdr:to>
      <xdr:col>11</xdr:col>
      <xdr:colOff>63500</xdr:colOff>
      <xdr:row>142</xdr:row>
      <xdr:rowOff>1</xdr:rowOff>
    </xdr:to>
    <xdr:sp macro="" textlink="">
      <xdr:nvSpPr>
        <xdr:cNvPr id="705" name="nuNumber: 719" hidden="1">
          <a:extLst>
            <a:ext uri="{FF2B5EF4-FFF2-40B4-BE49-F238E27FC236}">
              <a16:creationId xmlns:a16="http://schemas.microsoft.com/office/drawing/2014/main" id="{298AFB75-12F5-4110-8463-B2DAA666338B}"/>
            </a:ext>
          </a:extLst>
        </xdr:cNvPr>
        <xdr:cNvSpPr/>
      </xdr:nvSpPr>
      <xdr:spPr bwMode="auto">
        <a:xfrm>
          <a:off x="8105775" y="29865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141</xdr:row>
      <xdr:rowOff>119381</xdr:rowOff>
    </xdr:from>
    <xdr:to>
      <xdr:col>12</xdr:col>
      <xdr:colOff>63500</xdr:colOff>
      <xdr:row>142</xdr:row>
      <xdr:rowOff>1</xdr:rowOff>
    </xdr:to>
    <xdr:sp macro="" textlink="">
      <xdr:nvSpPr>
        <xdr:cNvPr id="706" name="nuNumber: 720" hidden="1">
          <a:extLst>
            <a:ext uri="{FF2B5EF4-FFF2-40B4-BE49-F238E27FC236}">
              <a16:creationId xmlns:a16="http://schemas.microsoft.com/office/drawing/2014/main" id="{A6E41F6A-18F8-42BE-80A6-5A0DC4D067F9}"/>
            </a:ext>
          </a:extLst>
        </xdr:cNvPr>
        <xdr:cNvSpPr/>
      </xdr:nvSpPr>
      <xdr:spPr bwMode="auto">
        <a:xfrm>
          <a:off x="8972550" y="29865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141</xdr:row>
      <xdr:rowOff>119381</xdr:rowOff>
    </xdr:from>
    <xdr:to>
      <xdr:col>13</xdr:col>
      <xdr:colOff>63500</xdr:colOff>
      <xdr:row>142</xdr:row>
      <xdr:rowOff>1</xdr:rowOff>
    </xdr:to>
    <xdr:sp macro="" textlink="">
      <xdr:nvSpPr>
        <xdr:cNvPr id="707" name="nuNumber: 721" hidden="1">
          <a:extLst>
            <a:ext uri="{FF2B5EF4-FFF2-40B4-BE49-F238E27FC236}">
              <a16:creationId xmlns:a16="http://schemas.microsoft.com/office/drawing/2014/main" id="{75BEA5A0-680E-4531-9C3A-2BA1B3C0A3D4}"/>
            </a:ext>
          </a:extLst>
        </xdr:cNvPr>
        <xdr:cNvSpPr/>
      </xdr:nvSpPr>
      <xdr:spPr bwMode="auto">
        <a:xfrm>
          <a:off x="9753600" y="29865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141</xdr:row>
      <xdr:rowOff>119381</xdr:rowOff>
    </xdr:from>
    <xdr:to>
      <xdr:col>14</xdr:col>
      <xdr:colOff>63500</xdr:colOff>
      <xdr:row>142</xdr:row>
      <xdr:rowOff>1</xdr:rowOff>
    </xdr:to>
    <xdr:sp macro="" textlink="">
      <xdr:nvSpPr>
        <xdr:cNvPr id="708" name="nuNumber: 722" hidden="1">
          <a:extLst>
            <a:ext uri="{FF2B5EF4-FFF2-40B4-BE49-F238E27FC236}">
              <a16:creationId xmlns:a16="http://schemas.microsoft.com/office/drawing/2014/main" id="{7C86516B-BB1C-4C00-9105-06A0FF386DB4}"/>
            </a:ext>
          </a:extLst>
        </xdr:cNvPr>
        <xdr:cNvSpPr/>
      </xdr:nvSpPr>
      <xdr:spPr bwMode="auto">
        <a:xfrm>
          <a:off x="10515600" y="29865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141</xdr:row>
      <xdr:rowOff>119381</xdr:rowOff>
    </xdr:from>
    <xdr:to>
      <xdr:col>15</xdr:col>
      <xdr:colOff>63500</xdr:colOff>
      <xdr:row>142</xdr:row>
      <xdr:rowOff>1</xdr:rowOff>
    </xdr:to>
    <xdr:sp macro="" textlink="">
      <xdr:nvSpPr>
        <xdr:cNvPr id="709" name="nuNumber: 723" hidden="1">
          <a:extLst>
            <a:ext uri="{FF2B5EF4-FFF2-40B4-BE49-F238E27FC236}">
              <a16:creationId xmlns:a16="http://schemas.microsoft.com/office/drawing/2014/main" id="{3D25762D-4705-4EF5-B0C5-CB9F34F52978}"/>
            </a:ext>
          </a:extLst>
        </xdr:cNvPr>
        <xdr:cNvSpPr/>
      </xdr:nvSpPr>
      <xdr:spPr bwMode="auto">
        <a:xfrm>
          <a:off x="11325225" y="29865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141</xdr:row>
      <xdr:rowOff>119381</xdr:rowOff>
    </xdr:from>
    <xdr:to>
      <xdr:col>16</xdr:col>
      <xdr:colOff>63500</xdr:colOff>
      <xdr:row>142</xdr:row>
      <xdr:rowOff>1</xdr:rowOff>
    </xdr:to>
    <xdr:sp macro="" textlink="">
      <xdr:nvSpPr>
        <xdr:cNvPr id="710" name="nuNumber: 724" hidden="1">
          <a:extLst>
            <a:ext uri="{FF2B5EF4-FFF2-40B4-BE49-F238E27FC236}">
              <a16:creationId xmlns:a16="http://schemas.microsoft.com/office/drawing/2014/main" id="{A6A7BA1C-FA49-46D3-BC93-495E7B9AEE3A}"/>
            </a:ext>
          </a:extLst>
        </xdr:cNvPr>
        <xdr:cNvSpPr/>
      </xdr:nvSpPr>
      <xdr:spPr bwMode="auto">
        <a:xfrm>
          <a:off x="12106275" y="29865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141</xdr:row>
      <xdr:rowOff>119381</xdr:rowOff>
    </xdr:from>
    <xdr:to>
      <xdr:col>17</xdr:col>
      <xdr:colOff>63500</xdr:colOff>
      <xdr:row>142</xdr:row>
      <xdr:rowOff>1</xdr:rowOff>
    </xdr:to>
    <xdr:sp macro="" textlink="">
      <xdr:nvSpPr>
        <xdr:cNvPr id="711" name="nuNumber: 725" hidden="1">
          <a:extLst>
            <a:ext uri="{FF2B5EF4-FFF2-40B4-BE49-F238E27FC236}">
              <a16:creationId xmlns:a16="http://schemas.microsoft.com/office/drawing/2014/main" id="{926DB360-15E8-42EC-9C54-A35500E0A550}"/>
            </a:ext>
          </a:extLst>
        </xdr:cNvPr>
        <xdr:cNvSpPr/>
      </xdr:nvSpPr>
      <xdr:spPr bwMode="auto">
        <a:xfrm>
          <a:off x="12887325" y="29865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141</xdr:row>
      <xdr:rowOff>119381</xdr:rowOff>
    </xdr:from>
    <xdr:to>
      <xdr:col>18</xdr:col>
      <xdr:colOff>63499</xdr:colOff>
      <xdr:row>142</xdr:row>
      <xdr:rowOff>1</xdr:rowOff>
    </xdr:to>
    <xdr:sp macro="" textlink="">
      <xdr:nvSpPr>
        <xdr:cNvPr id="712" name="nuNumber: 726" hidden="1">
          <a:extLst>
            <a:ext uri="{FF2B5EF4-FFF2-40B4-BE49-F238E27FC236}">
              <a16:creationId xmlns:a16="http://schemas.microsoft.com/office/drawing/2014/main" id="{38517241-DA79-4A2A-B770-494122D061F8}"/>
            </a:ext>
          </a:extLst>
        </xdr:cNvPr>
        <xdr:cNvSpPr/>
      </xdr:nvSpPr>
      <xdr:spPr bwMode="auto">
        <a:xfrm>
          <a:off x="13624559" y="29865956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141</xdr:row>
      <xdr:rowOff>119381</xdr:rowOff>
    </xdr:from>
    <xdr:to>
      <xdr:col>19</xdr:col>
      <xdr:colOff>63500</xdr:colOff>
      <xdr:row>142</xdr:row>
      <xdr:rowOff>1</xdr:rowOff>
    </xdr:to>
    <xdr:sp macro="" textlink="">
      <xdr:nvSpPr>
        <xdr:cNvPr id="713" name="nuNumber: 727" hidden="1">
          <a:extLst>
            <a:ext uri="{FF2B5EF4-FFF2-40B4-BE49-F238E27FC236}">
              <a16:creationId xmlns:a16="http://schemas.microsoft.com/office/drawing/2014/main" id="{394EB720-AED7-4FB0-BA4A-75E7F01C5735}"/>
            </a:ext>
          </a:extLst>
        </xdr:cNvPr>
        <xdr:cNvSpPr/>
      </xdr:nvSpPr>
      <xdr:spPr bwMode="auto">
        <a:xfrm>
          <a:off x="14382750" y="29865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141</xdr:row>
      <xdr:rowOff>119381</xdr:rowOff>
    </xdr:from>
    <xdr:to>
      <xdr:col>20</xdr:col>
      <xdr:colOff>63500</xdr:colOff>
      <xdr:row>142</xdr:row>
      <xdr:rowOff>1</xdr:rowOff>
    </xdr:to>
    <xdr:sp macro="" textlink="">
      <xdr:nvSpPr>
        <xdr:cNvPr id="714" name="nuNumber: 728" hidden="1">
          <a:extLst>
            <a:ext uri="{FF2B5EF4-FFF2-40B4-BE49-F238E27FC236}">
              <a16:creationId xmlns:a16="http://schemas.microsoft.com/office/drawing/2014/main" id="{5E25F9B0-C098-4495-A50A-93CDFE8F27FF}"/>
            </a:ext>
          </a:extLst>
        </xdr:cNvPr>
        <xdr:cNvSpPr/>
      </xdr:nvSpPr>
      <xdr:spPr bwMode="auto">
        <a:xfrm>
          <a:off x="15135225" y="29865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141</xdr:row>
      <xdr:rowOff>119381</xdr:rowOff>
    </xdr:from>
    <xdr:to>
      <xdr:col>21</xdr:col>
      <xdr:colOff>63500</xdr:colOff>
      <xdr:row>142</xdr:row>
      <xdr:rowOff>1</xdr:rowOff>
    </xdr:to>
    <xdr:sp macro="" textlink="">
      <xdr:nvSpPr>
        <xdr:cNvPr id="715" name="nuNumber: 729" hidden="1">
          <a:extLst>
            <a:ext uri="{FF2B5EF4-FFF2-40B4-BE49-F238E27FC236}">
              <a16:creationId xmlns:a16="http://schemas.microsoft.com/office/drawing/2014/main" id="{7B1F0D2F-AF22-40BC-83E6-64BEE6F9ED40}"/>
            </a:ext>
          </a:extLst>
        </xdr:cNvPr>
        <xdr:cNvSpPr/>
      </xdr:nvSpPr>
      <xdr:spPr bwMode="auto">
        <a:xfrm>
          <a:off x="15849600" y="29865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142</xdr:row>
      <xdr:rowOff>119379</xdr:rowOff>
    </xdr:from>
    <xdr:to>
      <xdr:col>8</xdr:col>
      <xdr:colOff>63500</xdr:colOff>
      <xdr:row>142</xdr:row>
      <xdr:rowOff>182879</xdr:rowOff>
    </xdr:to>
    <xdr:sp macro="" textlink="">
      <xdr:nvSpPr>
        <xdr:cNvPr id="716" name="nuNumber: 730" hidden="1">
          <a:extLst>
            <a:ext uri="{FF2B5EF4-FFF2-40B4-BE49-F238E27FC236}">
              <a16:creationId xmlns:a16="http://schemas.microsoft.com/office/drawing/2014/main" id="{A044E961-07FF-4DF2-8C28-608DE63B84B5}"/>
            </a:ext>
          </a:extLst>
        </xdr:cNvPr>
        <xdr:cNvSpPr/>
      </xdr:nvSpPr>
      <xdr:spPr bwMode="auto">
        <a:xfrm>
          <a:off x="5562600" y="300755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142</xdr:row>
      <xdr:rowOff>119379</xdr:rowOff>
    </xdr:from>
    <xdr:to>
      <xdr:col>9</xdr:col>
      <xdr:colOff>63500</xdr:colOff>
      <xdr:row>142</xdr:row>
      <xdr:rowOff>182879</xdr:rowOff>
    </xdr:to>
    <xdr:sp macro="" textlink="">
      <xdr:nvSpPr>
        <xdr:cNvPr id="717" name="nuNumber: 731" hidden="1">
          <a:extLst>
            <a:ext uri="{FF2B5EF4-FFF2-40B4-BE49-F238E27FC236}">
              <a16:creationId xmlns:a16="http://schemas.microsoft.com/office/drawing/2014/main" id="{4781A77E-CE89-4B3A-9CB0-802EA1A1A0BC}"/>
            </a:ext>
          </a:extLst>
        </xdr:cNvPr>
        <xdr:cNvSpPr/>
      </xdr:nvSpPr>
      <xdr:spPr bwMode="auto">
        <a:xfrm>
          <a:off x="6467475" y="300755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142</xdr:row>
      <xdr:rowOff>119379</xdr:rowOff>
    </xdr:from>
    <xdr:to>
      <xdr:col>9</xdr:col>
      <xdr:colOff>63500</xdr:colOff>
      <xdr:row>142</xdr:row>
      <xdr:rowOff>182879</xdr:rowOff>
    </xdr:to>
    <xdr:sp macro="" textlink="">
      <xdr:nvSpPr>
        <xdr:cNvPr id="718" name="nuNumber: 732" hidden="1">
          <a:extLst>
            <a:ext uri="{FF2B5EF4-FFF2-40B4-BE49-F238E27FC236}">
              <a16:creationId xmlns:a16="http://schemas.microsoft.com/office/drawing/2014/main" id="{25C3A129-8C9E-40C1-9FBF-212A46AAAD6F}"/>
            </a:ext>
          </a:extLst>
        </xdr:cNvPr>
        <xdr:cNvSpPr/>
      </xdr:nvSpPr>
      <xdr:spPr bwMode="auto">
        <a:xfrm>
          <a:off x="6467475" y="300755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142</xdr:row>
      <xdr:rowOff>119379</xdr:rowOff>
    </xdr:from>
    <xdr:to>
      <xdr:col>10</xdr:col>
      <xdr:colOff>63500</xdr:colOff>
      <xdr:row>142</xdr:row>
      <xdr:rowOff>182879</xdr:rowOff>
    </xdr:to>
    <xdr:sp macro="" textlink="">
      <xdr:nvSpPr>
        <xdr:cNvPr id="719" name="nuNumber: 733" hidden="1">
          <a:extLst>
            <a:ext uri="{FF2B5EF4-FFF2-40B4-BE49-F238E27FC236}">
              <a16:creationId xmlns:a16="http://schemas.microsoft.com/office/drawing/2014/main" id="{2ADD1E9C-5099-43B6-A74B-EF96A3D68DB5}"/>
            </a:ext>
          </a:extLst>
        </xdr:cNvPr>
        <xdr:cNvSpPr/>
      </xdr:nvSpPr>
      <xdr:spPr bwMode="auto">
        <a:xfrm>
          <a:off x="7315200" y="300755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142</xdr:row>
      <xdr:rowOff>119379</xdr:rowOff>
    </xdr:from>
    <xdr:to>
      <xdr:col>11</xdr:col>
      <xdr:colOff>63500</xdr:colOff>
      <xdr:row>142</xdr:row>
      <xdr:rowOff>182879</xdr:rowOff>
    </xdr:to>
    <xdr:sp macro="" textlink="">
      <xdr:nvSpPr>
        <xdr:cNvPr id="720" name="nuNumber: 734" hidden="1">
          <a:extLst>
            <a:ext uri="{FF2B5EF4-FFF2-40B4-BE49-F238E27FC236}">
              <a16:creationId xmlns:a16="http://schemas.microsoft.com/office/drawing/2014/main" id="{C912FACC-59A9-4149-98D1-4E7CE32B4F9A}"/>
            </a:ext>
          </a:extLst>
        </xdr:cNvPr>
        <xdr:cNvSpPr/>
      </xdr:nvSpPr>
      <xdr:spPr bwMode="auto">
        <a:xfrm>
          <a:off x="8105775" y="300755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142</xdr:row>
      <xdr:rowOff>119379</xdr:rowOff>
    </xdr:from>
    <xdr:to>
      <xdr:col>12</xdr:col>
      <xdr:colOff>63500</xdr:colOff>
      <xdr:row>142</xdr:row>
      <xdr:rowOff>182879</xdr:rowOff>
    </xdr:to>
    <xdr:sp macro="" textlink="">
      <xdr:nvSpPr>
        <xdr:cNvPr id="721" name="nuNumber: 735" hidden="1">
          <a:extLst>
            <a:ext uri="{FF2B5EF4-FFF2-40B4-BE49-F238E27FC236}">
              <a16:creationId xmlns:a16="http://schemas.microsoft.com/office/drawing/2014/main" id="{9C20D96B-BB23-42D6-B8FC-4B1833A923FF}"/>
            </a:ext>
          </a:extLst>
        </xdr:cNvPr>
        <xdr:cNvSpPr/>
      </xdr:nvSpPr>
      <xdr:spPr bwMode="auto">
        <a:xfrm>
          <a:off x="8972550" y="300755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142</xdr:row>
      <xdr:rowOff>119379</xdr:rowOff>
    </xdr:from>
    <xdr:to>
      <xdr:col>13</xdr:col>
      <xdr:colOff>63500</xdr:colOff>
      <xdr:row>142</xdr:row>
      <xdr:rowOff>182879</xdr:rowOff>
    </xdr:to>
    <xdr:sp macro="" textlink="">
      <xdr:nvSpPr>
        <xdr:cNvPr id="722" name="nuNumber: 736" hidden="1">
          <a:extLst>
            <a:ext uri="{FF2B5EF4-FFF2-40B4-BE49-F238E27FC236}">
              <a16:creationId xmlns:a16="http://schemas.microsoft.com/office/drawing/2014/main" id="{C7F0BEA4-644B-44A5-BCAC-38972D6F2FC6}"/>
            </a:ext>
          </a:extLst>
        </xdr:cNvPr>
        <xdr:cNvSpPr/>
      </xdr:nvSpPr>
      <xdr:spPr bwMode="auto">
        <a:xfrm>
          <a:off x="9753600" y="300755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142</xdr:row>
      <xdr:rowOff>119379</xdr:rowOff>
    </xdr:from>
    <xdr:to>
      <xdr:col>14</xdr:col>
      <xdr:colOff>63500</xdr:colOff>
      <xdr:row>142</xdr:row>
      <xdr:rowOff>182879</xdr:rowOff>
    </xdr:to>
    <xdr:sp macro="" textlink="">
      <xdr:nvSpPr>
        <xdr:cNvPr id="723" name="nuNumber: 737" hidden="1">
          <a:extLst>
            <a:ext uri="{FF2B5EF4-FFF2-40B4-BE49-F238E27FC236}">
              <a16:creationId xmlns:a16="http://schemas.microsoft.com/office/drawing/2014/main" id="{49829337-7435-4F51-A58F-31F8A8345B25}"/>
            </a:ext>
          </a:extLst>
        </xdr:cNvPr>
        <xdr:cNvSpPr/>
      </xdr:nvSpPr>
      <xdr:spPr bwMode="auto">
        <a:xfrm>
          <a:off x="10515600" y="300755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142</xdr:row>
      <xdr:rowOff>119379</xdr:rowOff>
    </xdr:from>
    <xdr:to>
      <xdr:col>15</xdr:col>
      <xdr:colOff>63500</xdr:colOff>
      <xdr:row>142</xdr:row>
      <xdr:rowOff>182879</xdr:rowOff>
    </xdr:to>
    <xdr:sp macro="" textlink="">
      <xdr:nvSpPr>
        <xdr:cNvPr id="724" name="nuNumber: 738" hidden="1">
          <a:extLst>
            <a:ext uri="{FF2B5EF4-FFF2-40B4-BE49-F238E27FC236}">
              <a16:creationId xmlns:a16="http://schemas.microsoft.com/office/drawing/2014/main" id="{E1995B09-5A0B-4165-ABC9-7D9F18CA9520}"/>
            </a:ext>
          </a:extLst>
        </xdr:cNvPr>
        <xdr:cNvSpPr/>
      </xdr:nvSpPr>
      <xdr:spPr bwMode="auto">
        <a:xfrm>
          <a:off x="11325225" y="300755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142</xdr:row>
      <xdr:rowOff>119379</xdr:rowOff>
    </xdr:from>
    <xdr:to>
      <xdr:col>16</xdr:col>
      <xdr:colOff>63500</xdr:colOff>
      <xdr:row>142</xdr:row>
      <xdr:rowOff>182879</xdr:rowOff>
    </xdr:to>
    <xdr:sp macro="" textlink="">
      <xdr:nvSpPr>
        <xdr:cNvPr id="725" name="nuNumber: 739" hidden="1">
          <a:extLst>
            <a:ext uri="{FF2B5EF4-FFF2-40B4-BE49-F238E27FC236}">
              <a16:creationId xmlns:a16="http://schemas.microsoft.com/office/drawing/2014/main" id="{35192FD2-E727-4ABB-AC51-8E5609515E8C}"/>
            </a:ext>
          </a:extLst>
        </xdr:cNvPr>
        <xdr:cNvSpPr/>
      </xdr:nvSpPr>
      <xdr:spPr bwMode="auto">
        <a:xfrm>
          <a:off x="12106275" y="300755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142</xdr:row>
      <xdr:rowOff>119379</xdr:rowOff>
    </xdr:from>
    <xdr:to>
      <xdr:col>17</xdr:col>
      <xdr:colOff>63500</xdr:colOff>
      <xdr:row>142</xdr:row>
      <xdr:rowOff>182879</xdr:rowOff>
    </xdr:to>
    <xdr:sp macro="" textlink="">
      <xdr:nvSpPr>
        <xdr:cNvPr id="726" name="nuNumber: 740" hidden="1">
          <a:extLst>
            <a:ext uri="{FF2B5EF4-FFF2-40B4-BE49-F238E27FC236}">
              <a16:creationId xmlns:a16="http://schemas.microsoft.com/office/drawing/2014/main" id="{AABB0C1F-14D3-49C2-B1ED-53FCBA4BCC90}"/>
            </a:ext>
          </a:extLst>
        </xdr:cNvPr>
        <xdr:cNvSpPr/>
      </xdr:nvSpPr>
      <xdr:spPr bwMode="auto">
        <a:xfrm>
          <a:off x="12887325" y="300755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142</xdr:row>
      <xdr:rowOff>119379</xdr:rowOff>
    </xdr:from>
    <xdr:to>
      <xdr:col>18</xdr:col>
      <xdr:colOff>63499</xdr:colOff>
      <xdr:row>142</xdr:row>
      <xdr:rowOff>182879</xdr:rowOff>
    </xdr:to>
    <xdr:sp macro="" textlink="">
      <xdr:nvSpPr>
        <xdr:cNvPr id="727" name="nuNumber: 741" hidden="1">
          <a:extLst>
            <a:ext uri="{FF2B5EF4-FFF2-40B4-BE49-F238E27FC236}">
              <a16:creationId xmlns:a16="http://schemas.microsoft.com/office/drawing/2014/main" id="{4CD05B0E-2D40-4E9D-AD7D-B81AD1F460FD}"/>
            </a:ext>
          </a:extLst>
        </xdr:cNvPr>
        <xdr:cNvSpPr/>
      </xdr:nvSpPr>
      <xdr:spPr bwMode="auto">
        <a:xfrm>
          <a:off x="13624559" y="30075504"/>
          <a:ext cx="5969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142</xdr:row>
      <xdr:rowOff>119379</xdr:rowOff>
    </xdr:from>
    <xdr:to>
      <xdr:col>19</xdr:col>
      <xdr:colOff>63500</xdr:colOff>
      <xdr:row>142</xdr:row>
      <xdr:rowOff>182879</xdr:rowOff>
    </xdr:to>
    <xdr:sp macro="" textlink="">
      <xdr:nvSpPr>
        <xdr:cNvPr id="728" name="nuNumber: 742" hidden="1">
          <a:extLst>
            <a:ext uri="{FF2B5EF4-FFF2-40B4-BE49-F238E27FC236}">
              <a16:creationId xmlns:a16="http://schemas.microsoft.com/office/drawing/2014/main" id="{F31F6966-D197-4199-91CF-544BFA161DF6}"/>
            </a:ext>
          </a:extLst>
        </xdr:cNvPr>
        <xdr:cNvSpPr/>
      </xdr:nvSpPr>
      <xdr:spPr bwMode="auto">
        <a:xfrm>
          <a:off x="14382750" y="300755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142</xdr:row>
      <xdr:rowOff>119379</xdr:rowOff>
    </xdr:from>
    <xdr:to>
      <xdr:col>20</xdr:col>
      <xdr:colOff>63500</xdr:colOff>
      <xdr:row>142</xdr:row>
      <xdr:rowOff>182879</xdr:rowOff>
    </xdr:to>
    <xdr:sp macro="" textlink="">
      <xdr:nvSpPr>
        <xdr:cNvPr id="729" name="nuNumber: 743" hidden="1">
          <a:extLst>
            <a:ext uri="{FF2B5EF4-FFF2-40B4-BE49-F238E27FC236}">
              <a16:creationId xmlns:a16="http://schemas.microsoft.com/office/drawing/2014/main" id="{BBA19EFC-0D0C-42AA-B2F6-93BC5D81CAA0}"/>
            </a:ext>
          </a:extLst>
        </xdr:cNvPr>
        <xdr:cNvSpPr/>
      </xdr:nvSpPr>
      <xdr:spPr bwMode="auto">
        <a:xfrm>
          <a:off x="15135225" y="300755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142</xdr:row>
      <xdr:rowOff>119379</xdr:rowOff>
    </xdr:from>
    <xdr:to>
      <xdr:col>21</xdr:col>
      <xdr:colOff>63500</xdr:colOff>
      <xdr:row>142</xdr:row>
      <xdr:rowOff>182879</xdr:rowOff>
    </xdr:to>
    <xdr:sp macro="" textlink="">
      <xdr:nvSpPr>
        <xdr:cNvPr id="730" name="nuNumber: 744" hidden="1">
          <a:extLst>
            <a:ext uri="{FF2B5EF4-FFF2-40B4-BE49-F238E27FC236}">
              <a16:creationId xmlns:a16="http://schemas.microsoft.com/office/drawing/2014/main" id="{688414BF-F748-44B2-9332-FB122577D140}"/>
            </a:ext>
          </a:extLst>
        </xdr:cNvPr>
        <xdr:cNvSpPr/>
      </xdr:nvSpPr>
      <xdr:spPr bwMode="auto">
        <a:xfrm>
          <a:off x="15849600" y="300755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145</xdr:row>
      <xdr:rowOff>119379</xdr:rowOff>
    </xdr:from>
    <xdr:to>
      <xdr:col>8</xdr:col>
      <xdr:colOff>63500</xdr:colOff>
      <xdr:row>145</xdr:row>
      <xdr:rowOff>182879</xdr:rowOff>
    </xdr:to>
    <xdr:sp macro="" textlink="">
      <xdr:nvSpPr>
        <xdr:cNvPr id="731" name="nuNumber: 745" hidden="1">
          <a:extLst>
            <a:ext uri="{FF2B5EF4-FFF2-40B4-BE49-F238E27FC236}">
              <a16:creationId xmlns:a16="http://schemas.microsoft.com/office/drawing/2014/main" id="{A538A663-7E2C-4BE7-9A92-8D9876219093}"/>
            </a:ext>
          </a:extLst>
        </xdr:cNvPr>
        <xdr:cNvSpPr/>
      </xdr:nvSpPr>
      <xdr:spPr bwMode="auto">
        <a:xfrm>
          <a:off x="5562600" y="307041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145</xdr:row>
      <xdr:rowOff>119379</xdr:rowOff>
    </xdr:from>
    <xdr:to>
      <xdr:col>9</xdr:col>
      <xdr:colOff>63500</xdr:colOff>
      <xdr:row>145</xdr:row>
      <xdr:rowOff>182879</xdr:rowOff>
    </xdr:to>
    <xdr:sp macro="" textlink="">
      <xdr:nvSpPr>
        <xdr:cNvPr id="732" name="nuNumber: 746" hidden="1">
          <a:extLst>
            <a:ext uri="{FF2B5EF4-FFF2-40B4-BE49-F238E27FC236}">
              <a16:creationId xmlns:a16="http://schemas.microsoft.com/office/drawing/2014/main" id="{F7D69B59-C6FB-438D-9B76-FD59D925732A}"/>
            </a:ext>
          </a:extLst>
        </xdr:cNvPr>
        <xdr:cNvSpPr/>
      </xdr:nvSpPr>
      <xdr:spPr bwMode="auto">
        <a:xfrm>
          <a:off x="6467475" y="307041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145</xdr:row>
      <xdr:rowOff>119379</xdr:rowOff>
    </xdr:from>
    <xdr:to>
      <xdr:col>10</xdr:col>
      <xdr:colOff>63500</xdr:colOff>
      <xdr:row>145</xdr:row>
      <xdr:rowOff>182879</xdr:rowOff>
    </xdr:to>
    <xdr:sp macro="" textlink="">
      <xdr:nvSpPr>
        <xdr:cNvPr id="733" name="nuNumber: 747" hidden="1">
          <a:extLst>
            <a:ext uri="{FF2B5EF4-FFF2-40B4-BE49-F238E27FC236}">
              <a16:creationId xmlns:a16="http://schemas.microsoft.com/office/drawing/2014/main" id="{EE79DD34-7CF8-4211-B521-97EEE3A59E6C}"/>
            </a:ext>
          </a:extLst>
        </xdr:cNvPr>
        <xdr:cNvSpPr/>
      </xdr:nvSpPr>
      <xdr:spPr bwMode="auto">
        <a:xfrm>
          <a:off x="7315200" y="307041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145</xdr:row>
      <xdr:rowOff>119379</xdr:rowOff>
    </xdr:from>
    <xdr:to>
      <xdr:col>11</xdr:col>
      <xdr:colOff>63500</xdr:colOff>
      <xdr:row>145</xdr:row>
      <xdr:rowOff>182879</xdr:rowOff>
    </xdr:to>
    <xdr:sp macro="" textlink="">
      <xdr:nvSpPr>
        <xdr:cNvPr id="734" name="nuNumber: 748" hidden="1">
          <a:extLst>
            <a:ext uri="{FF2B5EF4-FFF2-40B4-BE49-F238E27FC236}">
              <a16:creationId xmlns:a16="http://schemas.microsoft.com/office/drawing/2014/main" id="{4918FD38-DE0A-4CB5-A257-1D0EBCC04FC1}"/>
            </a:ext>
          </a:extLst>
        </xdr:cNvPr>
        <xdr:cNvSpPr/>
      </xdr:nvSpPr>
      <xdr:spPr bwMode="auto">
        <a:xfrm>
          <a:off x="8105775" y="307041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145</xdr:row>
      <xdr:rowOff>119379</xdr:rowOff>
    </xdr:from>
    <xdr:to>
      <xdr:col>12</xdr:col>
      <xdr:colOff>63500</xdr:colOff>
      <xdr:row>145</xdr:row>
      <xdr:rowOff>182879</xdr:rowOff>
    </xdr:to>
    <xdr:sp macro="" textlink="">
      <xdr:nvSpPr>
        <xdr:cNvPr id="735" name="nuNumber: 749" hidden="1">
          <a:extLst>
            <a:ext uri="{FF2B5EF4-FFF2-40B4-BE49-F238E27FC236}">
              <a16:creationId xmlns:a16="http://schemas.microsoft.com/office/drawing/2014/main" id="{4A5EC2E8-08E4-400E-843E-016976827599}"/>
            </a:ext>
          </a:extLst>
        </xdr:cNvPr>
        <xdr:cNvSpPr/>
      </xdr:nvSpPr>
      <xdr:spPr bwMode="auto">
        <a:xfrm>
          <a:off x="8972550" y="307041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145</xdr:row>
      <xdr:rowOff>119379</xdr:rowOff>
    </xdr:from>
    <xdr:to>
      <xdr:col>13</xdr:col>
      <xdr:colOff>63500</xdr:colOff>
      <xdr:row>145</xdr:row>
      <xdr:rowOff>182879</xdr:rowOff>
    </xdr:to>
    <xdr:sp macro="" textlink="">
      <xdr:nvSpPr>
        <xdr:cNvPr id="736" name="nuNumber: 750" hidden="1">
          <a:extLst>
            <a:ext uri="{FF2B5EF4-FFF2-40B4-BE49-F238E27FC236}">
              <a16:creationId xmlns:a16="http://schemas.microsoft.com/office/drawing/2014/main" id="{7A324D88-81C2-412B-B3C5-D448DFFF18C2}"/>
            </a:ext>
          </a:extLst>
        </xdr:cNvPr>
        <xdr:cNvSpPr/>
      </xdr:nvSpPr>
      <xdr:spPr bwMode="auto">
        <a:xfrm>
          <a:off x="9753600" y="307041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145</xdr:row>
      <xdr:rowOff>119379</xdr:rowOff>
    </xdr:from>
    <xdr:to>
      <xdr:col>14</xdr:col>
      <xdr:colOff>63500</xdr:colOff>
      <xdr:row>145</xdr:row>
      <xdr:rowOff>182879</xdr:rowOff>
    </xdr:to>
    <xdr:sp macro="" textlink="">
      <xdr:nvSpPr>
        <xdr:cNvPr id="737" name="nuNumber: 751" hidden="1">
          <a:extLst>
            <a:ext uri="{FF2B5EF4-FFF2-40B4-BE49-F238E27FC236}">
              <a16:creationId xmlns:a16="http://schemas.microsoft.com/office/drawing/2014/main" id="{64D63968-027F-4C20-B564-2D1ABEBE9248}"/>
            </a:ext>
          </a:extLst>
        </xdr:cNvPr>
        <xdr:cNvSpPr/>
      </xdr:nvSpPr>
      <xdr:spPr bwMode="auto">
        <a:xfrm>
          <a:off x="10515600" y="307041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145</xdr:row>
      <xdr:rowOff>119379</xdr:rowOff>
    </xdr:from>
    <xdr:to>
      <xdr:col>15</xdr:col>
      <xdr:colOff>63500</xdr:colOff>
      <xdr:row>145</xdr:row>
      <xdr:rowOff>182879</xdr:rowOff>
    </xdr:to>
    <xdr:sp macro="" textlink="">
      <xdr:nvSpPr>
        <xdr:cNvPr id="738" name="nuNumber: 752" hidden="1">
          <a:extLst>
            <a:ext uri="{FF2B5EF4-FFF2-40B4-BE49-F238E27FC236}">
              <a16:creationId xmlns:a16="http://schemas.microsoft.com/office/drawing/2014/main" id="{002DB4F6-4126-4C77-855B-D573B429DA58}"/>
            </a:ext>
          </a:extLst>
        </xdr:cNvPr>
        <xdr:cNvSpPr/>
      </xdr:nvSpPr>
      <xdr:spPr bwMode="auto">
        <a:xfrm>
          <a:off x="11325225" y="307041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145</xdr:row>
      <xdr:rowOff>119379</xdr:rowOff>
    </xdr:from>
    <xdr:to>
      <xdr:col>16</xdr:col>
      <xdr:colOff>63500</xdr:colOff>
      <xdr:row>145</xdr:row>
      <xdr:rowOff>182879</xdr:rowOff>
    </xdr:to>
    <xdr:sp macro="" textlink="">
      <xdr:nvSpPr>
        <xdr:cNvPr id="739" name="nuNumber: 753" hidden="1">
          <a:extLst>
            <a:ext uri="{FF2B5EF4-FFF2-40B4-BE49-F238E27FC236}">
              <a16:creationId xmlns:a16="http://schemas.microsoft.com/office/drawing/2014/main" id="{0A8E14D9-0452-467A-A0DA-409184099FCA}"/>
            </a:ext>
          </a:extLst>
        </xdr:cNvPr>
        <xdr:cNvSpPr/>
      </xdr:nvSpPr>
      <xdr:spPr bwMode="auto">
        <a:xfrm>
          <a:off x="12106275" y="307041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145</xdr:row>
      <xdr:rowOff>119379</xdr:rowOff>
    </xdr:from>
    <xdr:to>
      <xdr:col>17</xdr:col>
      <xdr:colOff>63500</xdr:colOff>
      <xdr:row>145</xdr:row>
      <xdr:rowOff>182879</xdr:rowOff>
    </xdr:to>
    <xdr:sp macro="" textlink="">
      <xdr:nvSpPr>
        <xdr:cNvPr id="740" name="nuNumber: 754" hidden="1">
          <a:extLst>
            <a:ext uri="{FF2B5EF4-FFF2-40B4-BE49-F238E27FC236}">
              <a16:creationId xmlns:a16="http://schemas.microsoft.com/office/drawing/2014/main" id="{BBDCBDEB-4068-456D-B400-664EE4AD3451}"/>
            </a:ext>
          </a:extLst>
        </xdr:cNvPr>
        <xdr:cNvSpPr/>
      </xdr:nvSpPr>
      <xdr:spPr bwMode="auto">
        <a:xfrm>
          <a:off x="12887325" y="307041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145</xdr:row>
      <xdr:rowOff>119379</xdr:rowOff>
    </xdr:from>
    <xdr:to>
      <xdr:col>18</xdr:col>
      <xdr:colOff>63499</xdr:colOff>
      <xdr:row>145</xdr:row>
      <xdr:rowOff>182879</xdr:rowOff>
    </xdr:to>
    <xdr:sp macro="" textlink="">
      <xdr:nvSpPr>
        <xdr:cNvPr id="741" name="nuNumber: 755" hidden="1">
          <a:extLst>
            <a:ext uri="{FF2B5EF4-FFF2-40B4-BE49-F238E27FC236}">
              <a16:creationId xmlns:a16="http://schemas.microsoft.com/office/drawing/2014/main" id="{C1000C57-98BD-4C92-8A13-0955B1787017}"/>
            </a:ext>
          </a:extLst>
        </xdr:cNvPr>
        <xdr:cNvSpPr/>
      </xdr:nvSpPr>
      <xdr:spPr bwMode="auto">
        <a:xfrm>
          <a:off x="13624559" y="30704154"/>
          <a:ext cx="5969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145</xdr:row>
      <xdr:rowOff>119379</xdr:rowOff>
    </xdr:from>
    <xdr:to>
      <xdr:col>19</xdr:col>
      <xdr:colOff>63500</xdr:colOff>
      <xdr:row>145</xdr:row>
      <xdr:rowOff>182879</xdr:rowOff>
    </xdr:to>
    <xdr:sp macro="" textlink="">
      <xdr:nvSpPr>
        <xdr:cNvPr id="742" name="nuNumber: 756" hidden="1">
          <a:extLst>
            <a:ext uri="{FF2B5EF4-FFF2-40B4-BE49-F238E27FC236}">
              <a16:creationId xmlns:a16="http://schemas.microsoft.com/office/drawing/2014/main" id="{A4CD33F4-B61D-4947-9E9D-F6220648E70A}"/>
            </a:ext>
          </a:extLst>
        </xdr:cNvPr>
        <xdr:cNvSpPr/>
      </xdr:nvSpPr>
      <xdr:spPr bwMode="auto">
        <a:xfrm>
          <a:off x="14382750" y="307041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145</xdr:row>
      <xdr:rowOff>119379</xdr:rowOff>
    </xdr:from>
    <xdr:to>
      <xdr:col>20</xdr:col>
      <xdr:colOff>63500</xdr:colOff>
      <xdr:row>145</xdr:row>
      <xdr:rowOff>182879</xdr:rowOff>
    </xdr:to>
    <xdr:sp macro="" textlink="">
      <xdr:nvSpPr>
        <xdr:cNvPr id="743" name="nuNumber: 757" hidden="1">
          <a:extLst>
            <a:ext uri="{FF2B5EF4-FFF2-40B4-BE49-F238E27FC236}">
              <a16:creationId xmlns:a16="http://schemas.microsoft.com/office/drawing/2014/main" id="{CB19AD9C-E038-440B-B163-CE2237FAD419}"/>
            </a:ext>
          </a:extLst>
        </xdr:cNvPr>
        <xdr:cNvSpPr/>
      </xdr:nvSpPr>
      <xdr:spPr bwMode="auto">
        <a:xfrm>
          <a:off x="15135225" y="307041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145</xdr:row>
      <xdr:rowOff>119379</xdr:rowOff>
    </xdr:from>
    <xdr:to>
      <xdr:col>21</xdr:col>
      <xdr:colOff>63500</xdr:colOff>
      <xdr:row>145</xdr:row>
      <xdr:rowOff>182879</xdr:rowOff>
    </xdr:to>
    <xdr:sp macro="" textlink="">
      <xdr:nvSpPr>
        <xdr:cNvPr id="744" name="nuNumber: 758" hidden="1">
          <a:extLst>
            <a:ext uri="{FF2B5EF4-FFF2-40B4-BE49-F238E27FC236}">
              <a16:creationId xmlns:a16="http://schemas.microsoft.com/office/drawing/2014/main" id="{10FD643F-150B-4D1C-A8C6-840160D2DD9C}"/>
            </a:ext>
          </a:extLst>
        </xdr:cNvPr>
        <xdr:cNvSpPr/>
      </xdr:nvSpPr>
      <xdr:spPr bwMode="auto">
        <a:xfrm>
          <a:off x="15849600" y="307041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146</xdr:row>
      <xdr:rowOff>119381</xdr:rowOff>
    </xdr:from>
    <xdr:to>
      <xdr:col>10</xdr:col>
      <xdr:colOff>63500</xdr:colOff>
      <xdr:row>147</xdr:row>
      <xdr:rowOff>1</xdr:rowOff>
    </xdr:to>
    <xdr:sp macro="" textlink="">
      <xdr:nvSpPr>
        <xdr:cNvPr id="745" name="nuNumber: 759" hidden="1">
          <a:extLst>
            <a:ext uri="{FF2B5EF4-FFF2-40B4-BE49-F238E27FC236}">
              <a16:creationId xmlns:a16="http://schemas.microsoft.com/office/drawing/2014/main" id="{D9FE70D6-F7D5-4634-8260-5A1AD6B041AD}"/>
            </a:ext>
          </a:extLst>
        </xdr:cNvPr>
        <xdr:cNvSpPr/>
      </xdr:nvSpPr>
      <xdr:spPr bwMode="auto">
        <a:xfrm>
          <a:off x="7315200" y="309137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146</xdr:row>
      <xdr:rowOff>119381</xdr:rowOff>
    </xdr:from>
    <xdr:to>
      <xdr:col>11</xdr:col>
      <xdr:colOff>63500</xdr:colOff>
      <xdr:row>147</xdr:row>
      <xdr:rowOff>1</xdr:rowOff>
    </xdr:to>
    <xdr:sp macro="" textlink="">
      <xdr:nvSpPr>
        <xdr:cNvPr id="746" name="nuNumber: 760" hidden="1">
          <a:extLst>
            <a:ext uri="{FF2B5EF4-FFF2-40B4-BE49-F238E27FC236}">
              <a16:creationId xmlns:a16="http://schemas.microsoft.com/office/drawing/2014/main" id="{30F97F19-857D-422C-8664-DE44CACCEC1C}"/>
            </a:ext>
          </a:extLst>
        </xdr:cNvPr>
        <xdr:cNvSpPr/>
      </xdr:nvSpPr>
      <xdr:spPr bwMode="auto">
        <a:xfrm>
          <a:off x="8105775" y="309137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146</xdr:row>
      <xdr:rowOff>119381</xdr:rowOff>
    </xdr:from>
    <xdr:to>
      <xdr:col>12</xdr:col>
      <xdr:colOff>63500</xdr:colOff>
      <xdr:row>147</xdr:row>
      <xdr:rowOff>1</xdr:rowOff>
    </xdr:to>
    <xdr:sp macro="" textlink="">
      <xdr:nvSpPr>
        <xdr:cNvPr id="747" name="nuNumber: 761" hidden="1">
          <a:extLst>
            <a:ext uri="{FF2B5EF4-FFF2-40B4-BE49-F238E27FC236}">
              <a16:creationId xmlns:a16="http://schemas.microsoft.com/office/drawing/2014/main" id="{3388BC17-37D3-4AC1-99BF-076777BCF785}"/>
            </a:ext>
          </a:extLst>
        </xdr:cNvPr>
        <xdr:cNvSpPr/>
      </xdr:nvSpPr>
      <xdr:spPr bwMode="auto">
        <a:xfrm>
          <a:off x="8972550" y="309137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146</xdr:row>
      <xdr:rowOff>119381</xdr:rowOff>
    </xdr:from>
    <xdr:to>
      <xdr:col>13</xdr:col>
      <xdr:colOff>63500</xdr:colOff>
      <xdr:row>147</xdr:row>
      <xdr:rowOff>1</xdr:rowOff>
    </xdr:to>
    <xdr:sp macro="" textlink="">
      <xdr:nvSpPr>
        <xdr:cNvPr id="748" name="nuNumber: 762" hidden="1">
          <a:extLst>
            <a:ext uri="{FF2B5EF4-FFF2-40B4-BE49-F238E27FC236}">
              <a16:creationId xmlns:a16="http://schemas.microsoft.com/office/drawing/2014/main" id="{AEEDF29B-7C28-4665-909E-D7B629686261}"/>
            </a:ext>
          </a:extLst>
        </xdr:cNvPr>
        <xdr:cNvSpPr/>
      </xdr:nvSpPr>
      <xdr:spPr bwMode="auto">
        <a:xfrm>
          <a:off x="9753600" y="309137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146</xdr:row>
      <xdr:rowOff>119381</xdr:rowOff>
    </xdr:from>
    <xdr:to>
      <xdr:col>14</xdr:col>
      <xdr:colOff>63500</xdr:colOff>
      <xdr:row>147</xdr:row>
      <xdr:rowOff>1</xdr:rowOff>
    </xdr:to>
    <xdr:sp macro="" textlink="">
      <xdr:nvSpPr>
        <xdr:cNvPr id="749" name="nuNumber: 763" hidden="1">
          <a:extLst>
            <a:ext uri="{FF2B5EF4-FFF2-40B4-BE49-F238E27FC236}">
              <a16:creationId xmlns:a16="http://schemas.microsoft.com/office/drawing/2014/main" id="{1150A936-170F-49F3-BFB8-A1DFE0FD6C75}"/>
            </a:ext>
          </a:extLst>
        </xdr:cNvPr>
        <xdr:cNvSpPr/>
      </xdr:nvSpPr>
      <xdr:spPr bwMode="auto">
        <a:xfrm>
          <a:off x="10515600" y="309137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146</xdr:row>
      <xdr:rowOff>119381</xdr:rowOff>
    </xdr:from>
    <xdr:to>
      <xdr:col>15</xdr:col>
      <xdr:colOff>63500</xdr:colOff>
      <xdr:row>147</xdr:row>
      <xdr:rowOff>1</xdr:rowOff>
    </xdr:to>
    <xdr:sp macro="" textlink="">
      <xdr:nvSpPr>
        <xdr:cNvPr id="750" name="nuNumber: 764" hidden="1">
          <a:extLst>
            <a:ext uri="{FF2B5EF4-FFF2-40B4-BE49-F238E27FC236}">
              <a16:creationId xmlns:a16="http://schemas.microsoft.com/office/drawing/2014/main" id="{89157110-1A73-4836-AFA8-D75886649784}"/>
            </a:ext>
          </a:extLst>
        </xdr:cNvPr>
        <xdr:cNvSpPr/>
      </xdr:nvSpPr>
      <xdr:spPr bwMode="auto">
        <a:xfrm>
          <a:off x="11325225" y="309137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146</xdr:row>
      <xdr:rowOff>119381</xdr:rowOff>
    </xdr:from>
    <xdr:to>
      <xdr:col>16</xdr:col>
      <xdr:colOff>63500</xdr:colOff>
      <xdr:row>147</xdr:row>
      <xdr:rowOff>1</xdr:rowOff>
    </xdr:to>
    <xdr:sp macro="" textlink="">
      <xdr:nvSpPr>
        <xdr:cNvPr id="751" name="nuNumber: 765" hidden="1">
          <a:extLst>
            <a:ext uri="{FF2B5EF4-FFF2-40B4-BE49-F238E27FC236}">
              <a16:creationId xmlns:a16="http://schemas.microsoft.com/office/drawing/2014/main" id="{BB1D6D86-1C7B-44B7-AC9C-BC2B89B9CC54}"/>
            </a:ext>
          </a:extLst>
        </xdr:cNvPr>
        <xdr:cNvSpPr/>
      </xdr:nvSpPr>
      <xdr:spPr bwMode="auto">
        <a:xfrm>
          <a:off x="12106275" y="309137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146</xdr:row>
      <xdr:rowOff>119381</xdr:rowOff>
    </xdr:from>
    <xdr:to>
      <xdr:col>17</xdr:col>
      <xdr:colOff>63500</xdr:colOff>
      <xdr:row>147</xdr:row>
      <xdr:rowOff>1</xdr:rowOff>
    </xdr:to>
    <xdr:sp macro="" textlink="">
      <xdr:nvSpPr>
        <xdr:cNvPr id="752" name="nuNumber: 766" hidden="1">
          <a:extLst>
            <a:ext uri="{FF2B5EF4-FFF2-40B4-BE49-F238E27FC236}">
              <a16:creationId xmlns:a16="http://schemas.microsoft.com/office/drawing/2014/main" id="{8D5B8CE3-2A9C-426B-A009-683B122A5F4C}"/>
            </a:ext>
          </a:extLst>
        </xdr:cNvPr>
        <xdr:cNvSpPr/>
      </xdr:nvSpPr>
      <xdr:spPr bwMode="auto">
        <a:xfrm>
          <a:off x="12887325" y="309137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146</xdr:row>
      <xdr:rowOff>119381</xdr:rowOff>
    </xdr:from>
    <xdr:to>
      <xdr:col>18</xdr:col>
      <xdr:colOff>63499</xdr:colOff>
      <xdr:row>147</xdr:row>
      <xdr:rowOff>1</xdr:rowOff>
    </xdr:to>
    <xdr:sp macro="" textlink="">
      <xdr:nvSpPr>
        <xdr:cNvPr id="753" name="nuNumber: 767" hidden="1">
          <a:extLst>
            <a:ext uri="{FF2B5EF4-FFF2-40B4-BE49-F238E27FC236}">
              <a16:creationId xmlns:a16="http://schemas.microsoft.com/office/drawing/2014/main" id="{891EE61E-5FED-44F7-89B7-43D005089308}"/>
            </a:ext>
          </a:extLst>
        </xdr:cNvPr>
        <xdr:cNvSpPr/>
      </xdr:nvSpPr>
      <xdr:spPr bwMode="auto">
        <a:xfrm>
          <a:off x="13624559" y="30913706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146</xdr:row>
      <xdr:rowOff>119381</xdr:rowOff>
    </xdr:from>
    <xdr:to>
      <xdr:col>19</xdr:col>
      <xdr:colOff>63500</xdr:colOff>
      <xdr:row>147</xdr:row>
      <xdr:rowOff>1</xdr:rowOff>
    </xdr:to>
    <xdr:sp macro="" textlink="">
      <xdr:nvSpPr>
        <xdr:cNvPr id="754" name="nuNumber: 768" hidden="1">
          <a:extLst>
            <a:ext uri="{FF2B5EF4-FFF2-40B4-BE49-F238E27FC236}">
              <a16:creationId xmlns:a16="http://schemas.microsoft.com/office/drawing/2014/main" id="{777212AC-982C-4EE7-8451-2A8680BD3041}"/>
            </a:ext>
          </a:extLst>
        </xdr:cNvPr>
        <xdr:cNvSpPr/>
      </xdr:nvSpPr>
      <xdr:spPr bwMode="auto">
        <a:xfrm>
          <a:off x="14382750" y="309137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146</xdr:row>
      <xdr:rowOff>119381</xdr:rowOff>
    </xdr:from>
    <xdr:to>
      <xdr:col>20</xdr:col>
      <xdr:colOff>63500</xdr:colOff>
      <xdr:row>147</xdr:row>
      <xdr:rowOff>1</xdr:rowOff>
    </xdr:to>
    <xdr:sp macro="" textlink="">
      <xdr:nvSpPr>
        <xdr:cNvPr id="755" name="nuNumber: 769" hidden="1">
          <a:extLst>
            <a:ext uri="{FF2B5EF4-FFF2-40B4-BE49-F238E27FC236}">
              <a16:creationId xmlns:a16="http://schemas.microsoft.com/office/drawing/2014/main" id="{A9A5D91D-1D26-4236-90D3-78D5F22F0523}"/>
            </a:ext>
          </a:extLst>
        </xdr:cNvPr>
        <xdr:cNvSpPr/>
      </xdr:nvSpPr>
      <xdr:spPr bwMode="auto">
        <a:xfrm>
          <a:off x="15135225" y="309137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146</xdr:row>
      <xdr:rowOff>119381</xdr:rowOff>
    </xdr:from>
    <xdr:to>
      <xdr:col>21</xdr:col>
      <xdr:colOff>63500</xdr:colOff>
      <xdr:row>147</xdr:row>
      <xdr:rowOff>1</xdr:rowOff>
    </xdr:to>
    <xdr:sp macro="" textlink="">
      <xdr:nvSpPr>
        <xdr:cNvPr id="756" name="nuNumber: 770" hidden="1">
          <a:extLst>
            <a:ext uri="{FF2B5EF4-FFF2-40B4-BE49-F238E27FC236}">
              <a16:creationId xmlns:a16="http://schemas.microsoft.com/office/drawing/2014/main" id="{0F99DE69-A38A-4684-8957-C394E1A59788}"/>
            </a:ext>
          </a:extLst>
        </xdr:cNvPr>
        <xdr:cNvSpPr/>
      </xdr:nvSpPr>
      <xdr:spPr bwMode="auto">
        <a:xfrm>
          <a:off x="15849600" y="309137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148</xdr:row>
      <xdr:rowOff>119381</xdr:rowOff>
    </xdr:from>
    <xdr:to>
      <xdr:col>10</xdr:col>
      <xdr:colOff>63500</xdr:colOff>
      <xdr:row>149</xdr:row>
      <xdr:rowOff>1</xdr:rowOff>
    </xdr:to>
    <xdr:sp macro="" textlink="">
      <xdr:nvSpPr>
        <xdr:cNvPr id="757" name="nuNumber: 771" hidden="1">
          <a:extLst>
            <a:ext uri="{FF2B5EF4-FFF2-40B4-BE49-F238E27FC236}">
              <a16:creationId xmlns:a16="http://schemas.microsoft.com/office/drawing/2014/main" id="{41D66396-C337-423D-A028-F73E07509C82}"/>
            </a:ext>
          </a:extLst>
        </xdr:cNvPr>
        <xdr:cNvSpPr/>
      </xdr:nvSpPr>
      <xdr:spPr bwMode="auto">
        <a:xfrm>
          <a:off x="7315200" y="313328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148</xdr:row>
      <xdr:rowOff>119381</xdr:rowOff>
    </xdr:from>
    <xdr:to>
      <xdr:col>12</xdr:col>
      <xdr:colOff>63500</xdr:colOff>
      <xdr:row>149</xdr:row>
      <xdr:rowOff>1</xdr:rowOff>
    </xdr:to>
    <xdr:sp macro="" textlink="">
      <xdr:nvSpPr>
        <xdr:cNvPr id="758" name="nuNumber: 772" hidden="1">
          <a:extLst>
            <a:ext uri="{FF2B5EF4-FFF2-40B4-BE49-F238E27FC236}">
              <a16:creationId xmlns:a16="http://schemas.microsoft.com/office/drawing/2014/main" id="{87BC353E-3D90-42EE-B712-C386CF2949DC}"/>
            </a:ext>
          </a:extLst>
        </xdr:cNvPr>
        <xdr:cNvSpPr/>
      </xdr:nvSpPr>
      <xdr:spPr bwMode="auto">
        <a:xfrm>
          <a:off x="8972550" y="313328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148</xdr:row>
      <xdr:rowOff>119381</xdr:rowOff>
    </xdr:from>
    <xdr:to>
      <xdr:col>13</xdr:col>
      <xdr:colOff>63500</xdr:colOff>
      <xdr:row>149</xdr:row>
      <xdr:rowOff>1</xdr:rowOff>
    </xdr:to>
    <xdr:sp macro="" textlink="">
      <xdr:nvSpPr>
        <xdr:cNvPr id="759" name="nuNumber: 773" hidden="1">
          <a:extLst>
            <a:ext uri="{FF2B5EF4-FFF2-40B4-BE49-F238E27FC236}">
              <a16:creationId xmlns:a16="http://schemas.microsoft.com/office/drawing/2014/main" id="{1FA00014-CF09-406E-A701-302F857B1E96}"/>
            </a:ext>
          </a:extLst>
        </xdr:cNvPr>
        <xdr:cNvSpPr/>
      </xdr:nvSpPr>
      <xdr:spPr bwMode="auto">
        <a:xfrm>
          <a:off x="9753600" y="313328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148</xdr:row>
      <xdr:rowOff>119381</xdr:rowOff>
    </xdr:from>
    <xdr:to>
      <xdr:col>14</xdr:col>
      <xdr:colOff>63500</xdr:colOff>
      <xdr:row>149</xdr:row>
      <xdr:rowOff>1</xdr:rowOff>
    </xdr:to>
    <xdr:sp macro="" textlink="">
      <xdr:nvSpPr>
        <xdr:cNvPr id="760" name="nuNumber: 774" hidden="1">
          <a:extLst>
            <a:ext uri="{FF2B5EF4-FFF2-40B4-BE49-F238E27FC236}">
              <a16:creationId xmlns:a16="http://schemas.microsoft.com/office/drawing/2014/main" id="{CFF41B38-55D8-45BE-A5F5-DA1F5AB00E7A}"/>
            </a:ext>
          </a:extLst>
        </xdr:cNvPr>
        <xdr:cNvSpPr/>
      </xdr:nvSpPr>
      <xdr:spPr bwMode="auto">
        <a:xfrm>
          <a:off x="10515600" y="313328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148</xdr:row>
      <xdr:rowOff>119381</xdr:rowOff>
    </xdr:from>
    <xdr:to>
      <xdr:col>15</xdr:col>
      <xdr:colOff>63500</xdr:colOff>
      <xdr:row>149</xdr:row>
      <xdr:rowOff>1</xdr:rowOff>
    </xdr:to>
    <xdr:sp macro="" textlink="">
      <xdr:nvSpPr>
        <xdr:cNvPr id="761" name="nuNumber: 775" hidden="1">
          <a:extLst>
            <a:ext uri="{FF2B5EF4-FFF2-40B4-BE49-F238E27FC236}">
              <a16:creationId xmlns:a16="http://schemas.microsoft.com/office/drawing/2014/main" id="{FA125CB8-9DD6-42A1-A42F-B2FFAE74B25C}"/>
            </a:ext>
          </a:extLst>
        </xdr:cNvPr>
        <xdr:cNvSpPr/>
      </xdr:nvSpPr>
      <xdr:spPr bwMode="auto">
        <a:xfrm>
          <a:off x="11325225" y="313328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148</xdr:row>
      <xdr:rowOff>119381</xdr:rowOff>
    </xdr:from>
    <xdr:to>
      <xdr:col>16</xdr:col>
      <xdr:colOff>63500</xdr:colOff>
      <xdr:row>149</xdr:row>
      <xdr:rowOff>1</xdr:rowOff>
    </xdr:to>
    <xdr:sp macro="" textlink="">
      <xdr:nvSpPr>
        <xdr:cNvPr id="762" name="nuNumber: 776" hidden="1">
          <a:extLst>
            <a:ext uri="{FF2B5EF4-FFF2-40B4-BE49-F238E27FC236}">
              <a16:creationId xmlns:a16="http://schemas.microsoft.com/office/drawing/2014/main" id="{2E1E27FB-D03B-4D62-9AD5-938DCAE0A18E}"/>
            </a:ext>
          </a:extLst>
        </xdr:cNvPr>
        <xdr:cNvSpPr/>
      </xdr:nvSpPr>
      <xdr:spPr bwMode="auto">
        <a:xfrm>
          <a:off x="12106275" y="313328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148</xdr:row>
      <xdr:rowOff>119381</xdr:rowOff>
    </xdr:from>
    <xdr:to>
      <xdr:col>17</xdr:col>
      <xdr:colOff>63500</xdr:colOff>
      <xdr:row>149</xdr:row>
      <xdr:rowOff>1</xdr:rowOff>
    </xdr:to>
    <xdr:sp macro="" textlink="">
      <xdr:nvSpPr>
        <xdr:cNvPr id="763" name="nuNumber: 777" hidden="1">
          <a:extLst>
            <a:ext uri="{FF2B5EF4-FFF2-40B4-BE49-F238E27FC236}">
              <a16:creationId xmlns:a16="http://schemas.microsoft.com/office/drawing/2014/main" id="{22C0082E-A64B-4D5E-B186-AA12AF8BD303}"/>
            </a:ext>
          </a:extLst>
        </xdr:cNvPr>
        <xdr:cNvSpPr/>
      </xdr:nvSpPr>
      <xdr:spPr bwMode="auto">
        <a:xfrm>
          <a:off x="12887325" y="313328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148</xdr:row>
      <xdr:rowOff>119381</xdr:rowOff>
    </xdr:from>
    <xdr:to>
      <xdr:col>18</xdr:col>
      <xdr:colOff>63499</xdr:colOff>
      <xdr:row>149</xdr:row>
      <xdr:rowOff>1</xdr:rowOff>
    </xdr:to>
    <xdr:sp macro="" textlink="">
      <xdr:nvSpPr>
        <xdr:cNvPr id="764" name="nuNumber: 778" hidden="1">
          <a:extLst>
            <a:ext uri="{FF2B5EF4-FFF2-40B4-BE49-F238E27FC236}">
              <a16:creationId xmlns:a16="http://schemas.microsoft.com/office/drawing/2014/main" id="{B65C2555-37DE-4EC2-9C71-AE1E123FE750}"/>
            </a:ext>
          </a:extLst>
        </xdr:cNvPr>
        <xdr:cNvSpPr/>
      </xdr:nvSpPr>
      <xdr:spPr bwMode="auto">
        <a:xfrm>
          <a:off x="13624559" y="31332806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148</xdr:row>
      <xdr:rowOff>119381</xdr:rowOff>
    </xdr:from>
    <xdr:to>
      <xdr:col>19</xdr:col>
      <xdr:colOff>63500</xdr:colOff>
      <xdr:row>149</xdr:row>
      <xdr:rowOff>1</xdr:rowOff>
    </xdr:to>
    <xdr:sp macro="" textlink="">
      <xdr:nvSpPr>
        <xdr:cNvPr id="765" name="nuNumber: 779" hidden="1">
          <a:extLst>
            <a:ext uri="{FF2B5EF4-FFF2-40B4-BE49-F238E27FC236}">
              <a16:creationId xmlns:a16="http://schemas.microsoft.com/office/drawing/2014/main" id="{8AE9CCCA-CA2D-4DF1-BC08-4FD77A49C265}"/>
            </a:ext>
          </a:extLst>
        </xdr:cNvPr>
        <xdr:cNvSpPr/>
      </xdr:nvSpPr>
      <xdr:spPr bwMode="auto">
        <a:xfrm>
          <a:off x="14382750" y="313328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148</xdr:row>
      <xdr:rowOff>119381</xdr:rowOff>
    </xdr:from>
    <xdr:to>
      <xdr:col>20</xdr:col>
      <xdr:colOff>63500</xdr:colOff>
      <xdr:row>149</xdr:row>
      <xdr:rowOff>1</xdr:rowOff>
    </xdr:to>
    <xdr:sp macro="" textlink="">
      <xdr:nvSpPr>
        <xdr:cNvPr id="766" name="nuNumber: 780" hidden="1">
          <a:extLst>
            <a:ext uri="{FF2B5EF4-FFF2-40B4-BE49-F238E27FC236}">
              <a16:creationId xmlns:a16="http://schemas.microsoft.com/office/drawing/2014/main" id="{22C40172-324D-4407-ADDF-65CFAEB3CCAB}"/>
            </a:ext>
          </a:extLst>
        </xdr:cNvPr>
        <xdr:cNvSpPr/>
      </xdr:nvSpPr>
      <xdr:spPr bwMode="auto">
        <a:xfrm>
          <a:off x="15135225" y="313328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149</xdr:row>
      <xdr:rowOff>119380</xdr:rowOff>
    </xdr:from>
    <xdr:to>
      <xdr:col>10</xdr:col>
      <xdr:colOff>63500</xdr:colOff>
      <xdr:row>150</xdr:row>
      <xdr:rowOff>0</xdr:rowOff>
    </xdr:to>
    <xdr:sp macro="" textlink="">
      <xdr:nvSpPr>
        <xdr:cNvPr id="767" name="nuNumber: 781" hidden="1">
          <a:extLst>
            <a:ext uri="{FF2B5EF4-FFF2-40B4-BE49-F238E27FC236}">
              <a16:creationId xmlns:a16="http://schemas.microsoft.com/office/drawing/2014/main" id="{2197F740-57E2-41F1-8E40-156E27DF92A7}"/>
            </a:ext>
          </a:extLst>
        </xdr:cNvPr>
        <xdr:cNvSpPr/>
      </xdr:nvSpPr>
      <xdr:spPr bwMode="auto">
        <a:xfrm>
          <a:off x="7315200" y="315423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149</xdr:row>
      <xdr:rowOff>119380</xdr:rowOff>
    </xdr:from>
    <xdr:to>
      <xdr:col>11</xdr:col>
      <xdr:colOff>63500</xdr:colOff>
      <xdr:row>150</xdr:row>
      <xdr:rowOff>0</xdr:rowOff>
    </xdr:to>
    <xdr:sp macro="" textlink="">
      <xdr:nvSpPr>
        <xdr:cNvPr id="768" name="nuNumber: 782" hidden="1">
          <a:extLst>
            <a:ext uri="{FF2B5EF4-FFF2-40B4-BE49-F238E27FC236}">
              <a16:creationId xmlns:a16="http://schemas.microsoft.com/office/drawing/2014/main" id="{BAEA8BD9-D974-46DA-BC13-BEA3A20DD11E}"/>
            </a:ext>
          </a:extLst>
        </xdr:cNvPr>
        <xdr:cNvSpPr/>
      </xdr:nvSpPr>
      <xdr:spPr bwMode="auto">
        <a:xfrm>
          <a:off x="8105775" y="315423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149</xdr:row>
      <xdr:rowOff>119380</xdr:rowOff>
    </xdr:from>
    <xdr:to>
      <xdr:col>12</xdr:col>
      <xdr:colOff>63500</xdr:colOff>
      <xdr:row>150</xdr:row>
      <xdr:rowOff>0</xdr:rowOff>
    </xdr:to>
    <xdr:sp macro="" textlink="">
      <xdr:nvSpPr>
        <xdr:cNvPr id="769" name="nuNumber: 783" hidden="1">
          <a:extLst>
            <a:ext uri="{FF2B5EF4-FFF2-40B4-BE49-F238E27FC236}">
              <a16:creationId xmlns:a16="http://schemas.microsoft.com/office/drawing/2014/main" id="{9206FA33-3320-4CC1-9FCB-EE0E81822154}"/>
            </a:ext>
          </a:extLst>
        </xdr:cNvPr>
        <xdr:cNvSpPr/>
      </xdr:nvSpPr>
      <xdr:spPr bwMode="auto">
        <a:xfrm>
          <a:off x="8972550" y="315423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149</xdr:row>
      <xdr:rowOff>119380</xdr:rowOff>
    </xdr:from>
    <xdr:to>
      <xdr:col>13</xdr:col>
      <xdr:colOff>63500</xdr:colOff>
      <xdr:row>150</xdr:row>
      <xdr:rowOff>0</xdr:rowOff>
    </xdr:to>
    <xdr:sp macro="" textlink="">
      <xdr:nvSpPr>
        <xdr:cNvPr id="770" name="nuNumber: 784" hidden="1">
          <a:extLst>
            <a:ext uri="{FF2B5EF4-FFF2-40B4-BE49-F238E27FC236}">
              <a16:creationId xmlns:a16="http://schemas.microsoft.com/office/drawing/2014/main" id="{6917EDC5-8DBE-48D1-8D27-222712E0B790}"/>
            </a:ext>
          </a:extLst>
        </xdr:cNvPr>
        <xdr:cNvSpPr/>
      </xdr:nvSpPr>
      <xdr:spPr bwMode="auto">
        <a:xfrm>
          <a:off x="9753600" y="315423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149</xdr:row>
      <xdr:rowOff>119380</xdr:rowOff>
    </xdr:from>
    <xdr:to>
      <xdr:col>14</xdr:col>
      <xdr:colOff>63500</xdr:colOff>
      <xdr:row>150</xdr:row>
      <xdr:rowOff>0</xdr:rowOff>
    </xdr:to>
    <xdr:sp macro="" textlink="">
      <xdr:nvSpPr>
        <xdr:cNvPr id="771" name="nuNumber: 785" hidden="1">
          <a:extLst>
            <a:ext uri="{FF2B5EF4-FFF2-40B4-BE49-F238E27FC236}">
              <a16:creationId xmlns:a16="http://schemas.microsoft.com/office/drawing/2014/main" id="{83572F0E-3A41-498B-9003-1BFD13ED0C4C}"/>
            </a:ext>
          </a:extLst>
        </xdr:cNvPr>
        <xdr:cNvSpPr/>
      </xdr:nvSpPr>
      <xdr:spPr bwMode="auto">
        <a:xfrm>
          <a:off x="10515600" y="315423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149</xdr:row>
      <xdr:rowOff>119380</xdr:rowOff>
    </xdr:from>
    <xdr:to>
      <xdr:col>15</xdr:col>
      <xdr:colOff>63500</xdr:colOff>
      <xdr:row>150</xdr:row>
      <xdr:rowOff>0</xdr:rowOff>
    </xdr:to>
    <xdr:sp macro="" textlink="">
      <xdr:nvSpPr>
        <xdr:cNvPr id="772" name="nuNumber: 786" hidden="1">
          <a:extLst>
            <a:ext uri="{FF2B5EF4-FFF2-40B4-BE49-F238E27FC236}">
              <a16:creationId xmlns:a16="http://schemas.microsoft.com/office/drawing/2014/main" id="{7CECDA93-7CC5-4105-B63F-EA2E796EA82C}"/>
            </a:ext>
          </a:extLst>
        </xdr:cNvPr>
        <xdr:cNvSpPr/>
      </xdr:nvSpPr>
      <xdr:spPr bwMode="auto">
        <a:xfrm>
          <a:off x="11325225" y="315423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149</xdr:row>
      <xdr:rowOff>119380</xdr:rowOff>
    </xdr:from>
    <xdr:to>
      <xdr:col>16</xdr:col>
      <xdr:colOff>63500</xdr:colOff>
      <xdr:row>150</xdr:row>
      <xdr:rowOff>0</xdr:rowOff>
    </xdr:to>
    <xdr:sp macro="" textlink="">
      <xdr:nvSpPr>
        <xdr:cNvPr id="773" name="nuNumber: 787" hidden="1">
          <a:extLst>
            <a:ext uri="{FF2B5EF4-FFF2-40B4-BE49-F238E27FC236}">
              <a16:creationId xmlns:a16="http://schemas.microsoft.com/office/drawing/2014/main" id="{FF17E2A9-F457-44D1-9F53-82CD1483B1E3}"/>
            </a:ext>
          </a:extLst>
        </xdr:cNvPr>
        <xdr:cNvSpPr/>
      </xdr:nvSpPr>
      <xdr:spPr bwMode="auto">
        <a:xfrm>
          <a:off x="12106275" y="315423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149</xdr:row>
      <xdr:rowOff>119380</xdr:rowOff>
    </xdr:from>
    <xdr:to>
      <xdr:col>17</xdr:col>
      <xdr:colOff>63500</xdr:colOff>
      <xdr:row>150</xdr:row>
      <xdr:rowOff>0</xdr:rowOff>
    </xdr:to>
    <xdr:sp macro="" textlink="">
      <xdr:nvSpPr>
        <xdr:cNvPr id="774" name="nuNumber: 788" hidden="1">
          <a:extLst>
            <a:ext uri="{FF2B5EF4-FFF2-40B4-BE49-F238E27FC236}">
              <a16:creationId xmlns:a16="http://schemas.microsoft.com/office/drawing/2014/main" id="{713AF81C-1AEC-4FB1-931E-F87D50C52838}"/>
            </a:ext>
          </a:extLst>
        </xdr:cNvPr>
        <xdr:cNvSpPr/>
      </xdr:nvSpPr>
      <xdr:spPr bwMode="auto">
        <a:xfrm>
          <a:off x="12887325" y="315423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149</xdr:row>
      <xdr:rowOff>119380</xdr:rowOff>
    </xdr:from>
    <xdr:to>
      <xdr:col>18</xdr:col>
      <xdr:colOff>63499</xdr:colOff>
      <xdr:row>150</xdr:row>
      <xdr:rowOff>0</xdr:rowOff>
    </xdr:to>
    <xdr:sp macro="" textlink="">
      <xdr:nvSpPr>
        <xdr:cNvPr id="775" name="nuNumber: 789" hidden="1">
          <a:extLst>
            <a:ext uri="{FF2B5EF4-FFF2-40B4-BE49-F238E27FC236}">
              <a16:creationId xmlns:a16="http://schemas.microsoft.com/office/drawing/2014/main" id="{9AAE9F19-A6BE-49A7-8512-AE373849424B}"/>
            </a:ext>
          </a:extLst>
        </xdr:cNvPr>
        <xdr:cNvSpPr/>
      </xdr:nvSpPr>
      <xdr:spPr bwMode="auto">
        <a:xfrm>
          <a:off x="13624559" y="31542355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149</xdr:row>
      <xdr:rowOff>119380</xdr:rowOff>
    </xdr:from>
    <xdr:to>
      <xdr:col>19</xdr:col>
      <xdr:colOff>63500</xdr:colOff>
      <xdr:row>150</xdr:row>
      <xdr:rowOff>0</xdr:rowOff>
    </xdr:to>
    <xdr:sp macro="" textlink="">
      <xdr:nvSpPr>
        <xdr:cNvPr id="776" name="nuNumber: 790" hidden="1">
          <a:extLst>
            <a:ext uri="{FF2B5EF4-FFF2-40B4-BE49-F238E27FC236}">
              <a16:creationId xmlns:a16="http://schemas.microsoft.com/office/drawing/2014/main" id="{C7961ACA-F747-4343-AE71-A2DDD96084F5}"/>
            </a:ext>
          </a:extLst>
        </xdr:cNvPr>
        <xdr:cNvSpPr/>
      </xdr:nvSpPr>
      <xdr:spPr bwMode="auto">
        <a:xfrm>
          <a:off x="14382750" y="315423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149</xdr:row>
      <xdr:rowOff>119380</xdr:rowOff>
    </xdr:from>
    <xdr:to>
      <xdr:col>20</xdr:col>
      <xdr:colOff>63500</xdr:colOff>
      <xdr:row>150</xdr:row>
      <xdr:rowOff>0</xdr:rowOff>
    </xdr:to>
    <xdr:sp macro="" textlink="">
      <xdr:nvSpPr>
        <xdr:cNvPr id="777" name="nuNumber: 791" hidden="1">
          <a:extLst>
            <a:ext uri="{FF2B5EF4-FFF2-40B4-BE49-F238E27FC236}">
              <a16:creationId xmlns:a16="http://schemas.microsoft.com/office/drawing/2014/main" id="{24BBF2CB-547B-45AC-9CC1-79046750A338}"/>
            </a:ext>
          </a:extLst>
        </xdr:cNvPr>
        <xdr:cNvSpPr/>
      </xdr:nvSpPr>
      <xdr:spPr bwMode="auto">
        <a:xfrm>
          <a:off x="15135225" y="315423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150</xdr:row>
      <xdr:rowOff>119381</xdr:rowOff>
    </xdr:from>
    <xdr:to>
      <xdr:col>8</xdr:col>
      <xdr:colOff>63500</xdr:colOff>
      <xdr:row>151</xdr:row>
      <xdr:rowOff>1</xdr:rowOff>
    </xdr:to>
    <xdr:sp macro="" textlink="">
      <xdr:nvSpPr>
        <xdr:cNvPr id="778" name="nuNumber: 807" hidden="1">
          <a:extLst>
            <a:ext uri="{FF2B5EF4-FFF2-40B4-BE49-F238E27FC236}">
              <a16:creationId xmlns:a16="http://schemas.microsoft.com/office/drawing/2014/main" id="{412CF59D-EF3E-499E-AA70-E16F2C83734F}"/>
            </a:ext>
          </a:extLst>
        </xdr:cNvPr>
        <xdr:cNvSpPr/>
      </xdr:nvSpPr>
      <xdr:spPr bwMode="auto">
        <a:xfrm>
          <a:off x="5562600" y="317519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150</xdr:row>
      <xdr:rowOff>119381</xdr:rowOff>
    </xdr:from>
    <xdr:to>
      <xdr:col>9</xdr:col>
      <xdr:colOff>63500</xdr:colOff>
      <xdr:row>151</xdr:row>
      <xdr:rowOff>1</xdr:rowOff>
    </xdr:to>
    <xdr:sp macro="" textlink="">
      <xdr:nvSpPr>
        <xdr:cNvPr id="779" name="nuNumber: 808" hidden="1">
          <a:extLst>
            <a:ext uri="{FF2B5EF4-FFF2-40B4-BE49-F238E27FC236}">
              <a16:creationId xmlns:a16="http://schemas.microsoft.com/office/drawing/2014/main" id="{D37E48B6-4FF6-4AC2-841B-C2495C683607}"/>
            </a:ext>
          </a:extLst>
        </xdr:cNvPr>
        <xdr:cNvSpPr/>
      </xdr:nvSpPr>
      <xdr:spPr bwMode="auto">
        <a:xfrm>
          <a:off x="6467475" y="317519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150</xdr:row>
      <xdr:rowOff>119381</xdr:rowOff>
    </xdr:from>
    <xdr:to>
      <xdr:col>9</xdr:col>
      <xdr:colOff>63500</xdr:colOff>
      <xdr:row>151</xdr:row>
      <xdr:rowOff>1</xdr:rowOff>
    </xdr:to>
    <xdr:sp macro="" textlink="">
      <xdr:nvSpPr>
        <xdr:cNvPr id="780" name="nuNumber: 809" hidden="1">
          <a:extLst>
            <a:ext uri="{FF2B5EF4-FFF2-40B4-BE49-F238E27FC236}">
              <a16:creationId xmlns:a16="http://schemas.microsoft.com/office/drawing/2014/main" id="{18456595-A44D-4B0F-A7A1-EED9846F18FD}"/>
            </a:ext>
          </a:extLst>
        </xdr:cNvPr>
        <xdr:cNvSpPr/>
      </xdr:nvSpPr>
      <xdr:spPr bwMode="auto">
        <a:xfrm>
          <a:off x="6467475" y="317519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150</xdr:row>
      <xdr:rowOff>119381</xdr:rowOff>
    </xdr:from>
    <xdr:to>
      <xdr:col>10</xdr:col>
      <xdr:colOff>63500</xdr:colOff>
      <xdr:row>151</xdr:row>
      <xdr:rowOff>1</xdr:rowOff>
    </xdr:to>
    <xdr:sp macro="" textlink="">
      <xdr:nvSpPr>
        <xdr:cNvPr id="781" name="nuNumber: 810" hidden="1">
          <a:extLst>
            <a:ext uri="{FF2B5EF4-FFF2-40B4-BE49-F238E27FC236}">
              <a16:creationId xmlns:a16="http://schemas.microsoft.com/office/drawing/2014/main" id="{6533D8AC-1060-44F0-BB45-D7053C08E0EE}"/>
            </a:ext>
          </a:extLst>
        </xdr:cNvPr>
        <xdr:cNvSpPr/>
      </xdr:nvSpPr>
      <xdr:spPr bwMode="auto">
        <a:xfrm>
          <a:off x="7315200" y="317519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150</xdr:row>
      <xdr:rowOff>119381</xdr:rowOff>
    </xdr:from>
    <xdr:to>
      <xdr:col>11</xdr:col>
      <xdr:colOff>63500</xdr:colOff>
      <xdr:row>151</xdr:row>
      <xdr:rowOff>1</xdr:rowOff>
    </xdr:to>
    <xdr:sp macro="" textlink="">
      <xdr:nvSpPr>
        <xdr:cNvPr id="782" name="nuNumber: 811" hidden="1">
          <a:extLst>
            <a:ext uri="{FF2B5EF4-FFF2-40B4-BE49-F238E27FC236}">
              <a16:creationId xmlns:a16="http://schemas.microsoft.com/office/drawing/2014/main" id="{FC5DCDF5-4060-414A-B163-EC0578147817}"/>
            </a:ext>
          </a:extLst>
        </xdr:cNvPr>
        <xdr:cNvSpPr/>
      </xdr:nvSpPr>
      <xdr:spPr bwMode="auto">
        <a:xfrm>
          <a:off x="8105775" y="317519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150</xdr:row>
      <xdr:rowOff>119381</xdr:rowOff>
    </xdr:from>
    <xdr:to>
      <xdr:col>12</xdr:col>
      <xdr:colOff>63500</xdr:colOff>
      <xdr:row>151</xdr:row>
      <xdr:rowOff>1</xdr:rowOff>
    </xdr:to>
    <xdr:sp macro="" textlink="">
      <xdr:nvSpPr>
        <xdr:cNvPr id="783" name="nuNumber: 812" hidden="1">
          <a:extLst>
            <a:ext uri="{FF2B5EF4-FFF2-40B4-BE49-F238E27FC236}">
              <a16:creationId xmlns:a16="http://schemas.microsoft.com/office/drawing/2014/main" id="{73810AA3-B40D-4C8B-AB59-3083824F572B}"/>
            </a:ext>
          </a:extLst>
        </xdr:cNvPr>
        <xdr:cNvSpPr/>
      </xdr:nvSpPr>
      <xdr:spPr bwMode="auto">
        <a:xfrm>
          <a:off x="8972550" y="317519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150</xdr:row>
      <xdr:rowOff>119381</xdr:rowOff>
    </xdr:from>
    <xdr:to>
      <xdr:col>13</xdr:col>
      <xdr:colOff>63500</xdr:colOff>
      <xdr:row>151</xdr:row>
      <xdr:rowOff>1</xdr:rowOff>
    </xdr:to>
    <xdr:sp macro="" textlink="">
      <xdr:nvSpPr>
        <xdr:cNvPr id="784" name="nuNumber: 813" hidden="1">
          <a:extLst>
            <a:ext uri="{FF2B5EF4-FFF2-40B4-BE49-F238E27FC236}">
              <a16:creationId xmlns:a16="http://schemas.microsoft.com/office/drawing/2014/main" id="{84CE2220-CBEC-41C8-A4FF-7DE36903D8DE}"/>
            </a:ext>
          </a:extLst>
        </xdr:cNvPr>
        <xdr:cNvSpPr/>
      </xdr:nvSpPr>
      <xdr:spPr bwMode="auto">
        <a:xfrm>
          <a:off x="9753600" y="317519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150</xdr:row>
      <xdr:rowOff>119381</xdr:rowOff>
    </xdr:from>
    <xdr:to>
      <xdr:col>14</xdr:col>
      <xdr:colOff>63500</xdr:colOff>
      <xdr:row>151</xdr:row>
      <xdr:rowOff>1</xdr:rowOff>
    </xdr:to>
    <xdr:sp macro="" textlink="">
      <xdr:nvSpPr>
        <xdr:cNvPr id="785" name="nuNumber: 814" hidden="1">
          <a:extLst>
            <a:ext uri="{FF2B5EF4-FFF2-40B4-BE49-F238E27FC236}">
              <a16:creationId xmlns:a16="http://schemas.microsoft.com/office/drawing/2014/main" id="{D8DA59CC-D359-4DBB-AFC6-179E08E07F1B}"/>
            </a:ext>
          </a:extLst>
        </xdr:cNvPr>
        <xdr:cNvSpPr/>
      </xdr:nvSpPr>
      <xdr:spPr bwMode="auto">
        <a:xfrm>
          <a:off x="10515600" y="317519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150</xdr:row>
      <xdr:rowOff>119381</xdr:rowOff>
    </xdr:from>
    <xdr:to>
      <xdr:col>15</xdr:col>
      <xdr:colOff>63500</xdr:colOff>
      <xdr:row>151</xdr:row>
      <xdr:rowOff>1</xdr:rowOff>
    </xdr:to>
    <xdr:sp macro="" textlink="">
      <xdr:nvSpPr>
        <xdr:cNvPr id="786" name="nuNumber: 815" hidden="1">
          <a:extLst>
            <a:ext uri="{FF2B5EF4-FFF2-40B4-BE49-F238E27FC236}">
              <a16:creationId xmlns:a16="http://schemas.microsoft.com/office/drawing/2014/main" id="{2E4C4E7F-B253-4CD4-82C3-8B28467A4377}"/>
            </a:ext>
          </a:extLst>
        </xdr:cNvPr>
        <xdr:cNvSpPr/>
      </xdr:nvSpPr>
      <xdr:spPr bwMode="auto">
        <a:xfrm>
          <a:off x="11325225" y="317519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150</xdr:row>
      <xdr:rowOff>119381</xdr:rowOff>
    </xdr:from>
    <xdr:to>
      <xdr:col>16</xdr:col>
      <xdr:colOff>63500</xdr:colOff>
      <xdr:row>151</xdr:row>
      <xdr:rowOff>1</xdr:rowOff>
    </xdr:to>
    <xdr:sp macro="" textlink="">
      <xdr:nvSpPr>
        <xdr:cNvPr id="787" name="nuNumber: 816" hidden="1">
          <a:extLst>
            <a:ext uri="{FF2B5EF4-FFF2-40B4-BE49-F238E27FC236}">
              <a16:creationId xmlns:a16="http://schemas.microsoft.com/office/drawing/2014/main" id="{FC7076F4-A9EA-486B-925A-8CE8711C2403}"/>
            </a:ext>
          </a:extLst>
        </xdr:cNvPr>
        <xdr:cNvSpPr/>
      </xdr:nvSpPr>
      <xdr:spPr bwMode="auto">
        <a:xfrm>
          <a:off x="12106275" y="317519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150</xdr:row>
      <xdr:rowOff>119381</xdr:rowOff>
    </xdr:from>
    <xdr:to>
      <xdr:col>17</xdr:col>
      <xdr:colOff>63500</xdr:colOff>
      <xdr:row>151</xdr:row>
      <xdr:rowOff>1</xdr:rowOff>
    </xdr:to>
    <xdr:sp macro="" textlink="">
      <xdr:nvSpPr>
        <xdr:cNvPr id="788" name="nuNumber: 817" hidden="1">
          <a:extLst>
            <a:ext uri="{FF2B5EF4-FFF2-40B4-BE49-F238E27FC236}">
              <a16:creationId xmlns:a16="http://schemas.microsoft.com/office/drawing/2014/main" id="{E0C21FD9-D665-4723-8670-240A9342BEAF}"/>
            </a:ext>
          </a:extLst>
        </xdr:cNvPr>
        <xdr:cNvSpPr/>
      </xdr:nvSpPr>
      <xdr:spPr bwMode="auto">
        <a:xfrm>
          <a:off x="12887325" y="317519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150</xdr:row>
      <xdr:rowOff>119381</xdr:rowOff>
    </xdr:from>
    <xdr:to>
      <xdr:col>18</xdr:col>
      <xdr:colOff>63499</xdr:colOff>
      <xdr:row>151</xdr:row>
      <xdr:rowOff>1</xdr:rowOff>
    </xdr:to>
    <xdr:sp macro="" textlink="">
      <xdr:nvSpPr>
        <xdr:cNvPr id="789" name="nuNumber: 818" hidden="1">
          <a:extLst>
            <a:ext uri="{FF2B5EF4-FFF2-40B4-BE49-F238E27FC236}">
              <a16:creationId xmlns:a16="http://schemas.microsoft.com/office/drawing/2014/main" id="{BF7DC327-87D3-4910-A82D-73E8C11410D9}"/>
            </a:ext>
          </a:extLst>
        </xdr:cNvPr>
        <xdr:cNvSpPr/>
      </xdr:nvSpPr>
      <xdr:spPr bwMode="auto">
        <a:xfrm>
          <a:off x="13624559" y="31751906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150</xdr:row>
      <xdr:rowOff>119381</xdr:rowOff>
    </xdr:from>
    <xdr:to>
      <xdr:col>19</xdr:col>
      <xdr:colOff>63500</xdr:colOff>
      <xdr:row>151</xdr:row>
      <xdr:rowOff>1</xdr:rowOff>
    </xdr:to>
    <xdr:sp macro="" textlink="">
      <xdr:nvSpPr>
        <xdr:cNvPr id="790" name="nuNumber: 819" hidden="1">
          <a:extLst>
            <a:ext uri="{FF2B5EF4-FFF2-40B4-BE49-F238E27FC236}">
              <a16:creationId xmlns:a16="http://schemas.microsoft.com/office/drawing/2014/main" id="{DB34DCC6-BC06-462C-9F73-CA8F8B0A923B}"/>
            </a:ext>
          </a:extLst>
        </xdr:cNvPr>
        <xdr:cNvSpPr/>
      </xdr:nvSpPr>
      <xdr:spPr bwMode="auto">
        <a:xfrm>
          <a:off x="14382750" y="317519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150</xdr:row>
      <xdr:rowOff>119381</xdr:rowOff>
    </xdr:from>
    <xdr:to>
      <xdr:col>20</xdr:col>
      <xdr:colOff>63500</xdr:colOff>
      <xdr:row>151</xdr:row>
      <xdr:rowOff>1</xdr:rowOff>
    </xdr:to>
    <xdr:sp macro="" textlink="">
      <xdr:nvSpPr>
        <xdr:cNvPr id="791" name="nuNumber: 820" hidden="1">
          <a:extLst>
            <a:ext uri="{FF2B5EF4-FFF2-40B4-BE49-F238E27FC236}">
              <a16:creationId xmlns:a16="http://schemas.microsoft.com/office/drawing/2014/main" id="{8B1266E2-CE76-4A09-9FCD-F62D2CD11A04}"/>
            </a:ext>
          </a:extLst>
        </xdr:cNvPr>
        <xdr:cNvSpPr/>
      </xdr:nvSpPr>
      <xdr:spPr bwMode="auto">
        <a:xfrm>
          <a:off x="15135225" y="317519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150</xdr:row>
      <xdr:rowOff>119381</xdr:rowOff>
    </xdr:from>
    <xdr:to>
      <xdr:col>21</xdr:col>
      <xdr:colOff>63500</xdr:colOff>
      <xdr:row>151</xdr:row>
      <xdr:rowOff>1</xdr:rowOff>
    </xdr:to>
    <xdr:sp macro="" textlink="">
      <xdr:nvSpPr>
        <xdr:cNvPr id="792" name="nuNumber: 821" hidden="1">
          <a:extLst>
            <a:ext uri="{FF2B5EF4-FFF2-40B4-BE49-F238E27FC236}">
              <a16:creationId xmlns:a16="http://schemas.microsoft.com/office/drawing/2014/main" id="{BBA7773C-D31C-433F-BDA5-C9F07A0A65AC}"/>
            </a:ext>
          </a:extLst>
        </xdr:cNvPr>
        <xdr:cNvSpPr/>
      </xdr:nvSpPr>
      <xdr:spPr bwMode="auto">
        <a:xfrm>
          <a:off x="15849600" y="317519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151</xdr:row>
      <xdr:rowOff>119380</xdr:rowOff>
    </xdr:from>
    <xdr:to>
      <xdr:col>8</xdr:col>
      <xdr:colOff>63500</xdr:colOff>
      <xdr:row>152</xdr:row>
      <xdr:rowOff>0</xdr:rowOff>
    </xdr:to>
    <xdr:sp macro="" textlink="">
      <xdr:nvSpPr>
        <xdr:cNvPr id="793" name="nuNumber: 822" hidden="1">
          <a:extLst>
            <a:ext uri="{FF2B5EF4-FFF2-40B4-BE49-F238E27FC236}">
              <a16:creationId xmlns:a16="http://schemas.microsoft.com/office/drawing/2014/main" id="{2B8276B0-35C5-42B5-A14C-99B32075D5B5}"/>
            </a:ext>
          </a:extLst>
        </xdr:cNvPr>
        <xdr:cNvSpPr/>
      </xdr:nvSpPr>
      <xdr:spPr bwMode="auto">
        <a:xfrm>
          <a:off x="5562600" y="319614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151</xdr:row>
      <xdr:rowOff>119380</xdr:rowOff>
    </xdr:from>
    <xdr:to>
      <xdr:col>9</xdr:col>
      <xdr:colOff>63500</xdr:colOff>
      <xdr:row>152</xdr:row>
      <xdr:rowOff>0</xdr:rowOff>
    </xdr:to>
    <xdr:sp macro="" textlink="">
      <xdr:nvSpPr>
        <xdr:cNvPr id="794" name="nuNumber: 823" hidden="1">
          <a:extLst>
            <a:ext uri="{FF2B5EF4-FFF2-40B4-BE49-F238E27FC236}">
              <a16:creationId xmlns:a16="http://schemas.microsoft.com/office/drawing/2014/main" id="{D5D64296-1CEC-4E5D-A8ED-5E64AD836F0B}"/>
            </a:ext>
          </a:extLst>
        </xdr:cNvPr>
        <xdr:cNvSpPr/>
      </xdr:nvSpPr>
      <xdr:spPr bwMode="auto">
        <a:xfrm>
          <a:off x="6467475" y="319614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151</xdr:row>
      <xdr:rowOff>119380</xdr:rowOff>
    </xdr:from>
    <xdr:to>
      <xdr:col>9</xdr:col>
      <xdr:colOff>63500</xdr:colOff>
      <xdr:row>152</xdr:row>
      <xdr:rowOff>0</xdr:rowOff>
    </xdr:to>
    <xdr:sp macro="" textlink="">
      <xdr:nvSpPr>
        <xdr:cNvPr id="795" name="nuNumber: 824" hidden="1">
          <a:extLst>
            <a:ext uri="{FF2B5EF4-FFF2-40B4-BE49-F238E27FC236}">
              <a16:creationId xmlns:a16="http://schemas.microsoft.com/office/drawing/2014/main" id="{78A585B7-7490-4D99-ABCF-6D6810FAB089}"/>
            </a:ext>
          </a:extLst>
        </xdr:cNvPr>
        <xdr:cNvSpPr/>
      </xdr:nvSpPr>
      <xdr:spPr bwMode="auto">
        <a:xfrm>
          <a:off x="6467475" y="319614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151</xdr:row>
      <xdr:rowOff>119380</xdr:rowOff>
    </xdr:from>
    <xdr:to>
      <xdr:col>10</xdr:col>
      <xdr:colOff>63500</xdr:colOff>
      <xdr:row>152</xdr:row>
      <xdr:rowOff>0</xdr:rowOff>
    </xdr:to>
    <xdr:sp macro="" textlink="">
      <xdr:nvSpPr>
        <xdr:cNvPr id="796" name="nuNumber: 825" hidden="1">
          <a:extLst>
            <a:ext uri="{FF2B5EF4-FFF2-40B4-BE49-F238E27FC236}">
              <a16:creationId xmlns:a16="http://schemas.microsoft.com/office/drawing/2014/main" id="{1291E251-2712-490D-A10D-9F2C1BD16CE0}"/>
            </a:ext>
          </a:extLst>
        </xdr:cNvPr>
        <xdr:cNvSpPr/>
      </xdr:nvSpPr>
      <xdr:spPr bwMode="auto">
        <a:xfrm>
          <a:off x="7315200" y="319614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151</xdr:row>
      <xdr:rowOff>119380</xdr:rowOff>
    </xdr:from>
    <xdr:to>
      <xdr:col>11</xdr:col>
      <xdr:colOff>63500</xdr:colOff>
      <xdr:row>152</xdr:row>
      <xdr:rowOff>0</xdr:rowOff>
    </xdr:to>
    <xdr:sp macro="" textlink="">
      <xdr:nvSpPr>
        <xdr:cNvPr id="797" name="nuNumber: 826" hidden="1">
          <a:extLst>
            <a:ext uri="{FF2B5EF4-FFF2-40B4-BE49-F238E27FC236}">
              <a16:creationId xmlns:a16="http://schemas.microsoft.com/office/drawing/2014/main" id="{82AF3837-90E6-413D-991B-3A19C1B32040}"/>
            </a:ext>
          </a:extLst>
        </xdr:cNvPr>
        <xdr:cNvSpPr/>
      </xdr:nvSpPr>
      <xdr:spPr bwMode="auto">
        <a:xfrm>
          <a:off x="8105775" y="319614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151</xdr:row>
      <xdr:rowOff>119380</xdr:rowOff>
    </xdr:from>
    <xdr:to>
      <xdr:col>12</xdr:col>
      <xdr:colOff>63500</xdr:colOff>
      <xdr:row>152</xdr:row>
      <xdr:rowOff>0</xdr:rowOff>
    </xdr:to>
    <xdr:sp macro="" textlink="">
      <xdr:nvSpPr>
        <xdr:cNvPr id="798" name="nuNumber: 827" hidden="1">
          <a:extLst>
            <a:ext uri="{FF2B5EF4-FFF2-40B4-BE49-F238E27FC236}">
              <a16:creationId xmlns:a16="http://schemas.microsoft.com/office/drawing/2014/main" id="{3786B27F-D12F-469D-AED8-9851CD722BA8}"/>
            </a:ext>
          </a:extLst>
        </xdr:cNvPr>
        <xdr:cNvSpPr/>
      </xdr:nvSpPr>
      <xdr:spPr bwMode="auto">
        <a:xfrm>
          <a:off x="8972550" y="319614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151</xdr:row>
      <xdr:rowOff>119380</xdr:rowOff>
    </xdr:from>
    <xdr:to>
      <xdr:col>13</xdr:col>
      <xdr:colOff>63500</xdr:colOff>
      <xdr:row>152</xdr:row>
      <xdr:rowOff>0</xdr:rowOff>
    </xdr:to>
    <xdr:sp macro="" textlink="">
      <xdr:nvSpPr>
        <xdr:cNvPr id="799" name="nuNumber: 828" hidden="1">
          <a:extLst>
            <a:ext uri="{FF2B5EF4-FFF2-40B4-BE49-F238E27FC236}">
              <a16:creationId xmlns:a16="http://schemas.microsoft.com/office/drawing/2014/main" id="{7D33FE05-FACD-4CE4-A032-FBBF763A195A}"/>
            </a:ext>
          </a:extLst>
        </xdr:cNvPr>
        <xdr:cNvSpPr/>
      </xdr:nvSpPr>
      <xdr:spPr bwMode="auto">
        <a:xfrm>
          <a:off x="9753600" y="319614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151</xdr:row>
      <xdr:rowOff>119380</xdr:rowOff>
    </xdr:from>
    <xdr:to>
      <xdr:col>14</xdr:col>
      <xdr:colOff>63500</xdr:colOff>
      <xdr:row>152</xdr:row>
      <xdr:rowOff>0</xdr:rowOff>
    </xdr:to>
    <xdr:sp macro="" textlink="">
      <xdr:nvSpPr>
        <xdr:cNvPr id="800" name="nuNumber: 829" hidden="1">
          <a:extLst>
            <a:ext uri="{FF2B5EF4-FFF2-40B4-BE49-F238E27FC236}">
              <a16:creationId xmlns:a16="http://schemas.microsoft.com/office/drawing/2014/main" id="{809F2E4A-9AA4-4BC9-8F77-44D4D14DDB17}"/>
            </a:ext>
          </a:extLst>
        </xdr:cNvPr>
        <xdr:cNvSpPr/>
      </xdr:nvSpPr>
      <xdr:spPr bwMode="auto">
        <a:xfrm>
          <a:off x="10515600" y="319614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151</xdr:row>
      <xdr:rowOff>119380</xdr:rowOff>
    </xdr:from>
    <xdr:to>
      <xdr:col>15</xdr:col>
      <xdr:colOff>63500</xdr:colOff>
      <xdr:row>152</xdr:row>
      <xdr:rowOff>0</xdr:rowOff>
    </xdr:to>
    <xdr:sp macro="" textlink="">
      <xdr:nvSpPr>
        <xdr:cNvPr id="801" name="nuNumber: 830" hidden="1">
          <a:extLst>
            <a:ext uri="{FF2B5EF4-FFF2-40B4-BE49-F238E27FC236}">
              <a16:creationId xmlns:a16="http://schemas.microsoft.com/office/drawing/2014/main" id="{A910208A-4B6D-443F-851C-159FFB1239EA}"/>
            </a:ext>
          </a:extLst>
        </xdr:cNvPr>
        <xdr:cNvSpPr/>
      </xdr:nvSpPr>
      <xdr:spPr bwMode="auto">
        <a:xfrm>
          <a:off x="11325225" y="319614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151</xdr:row>
      <xdr:rowOff>119380</xdr:rowOff>
    </xdr:from>
    <xdr:to>
      <xdr:col>16</xdr:col>
      <xdr:colOff>63500</xdr:colOff>
      <xdr:row>152</xdr:row>
      <xdr:rowOff>0</xdr:rowOff>
    </xdr:to>
    <xdr:sp macro="" textlink="">
      <xdr:nvSpPr>
        <xdr:cNvPr id="802" name="nuNumber: 831" hidden="1">
          <a:extLst>
            <a:ext uri="{FF2B5EF4-FFF2-40B4-BE49-F238E27FC236}">
              <a16:creationId xmlns:a16="http://schemas.microsoft.com/office/drawing/2014/main" id="{290F62E5-C238-4C32-AE4C-63DD7B8C521C}"/>
            </a:ext>
          </a:extLst>
        </xdr:cNvPr>
        <xdr:cNvSpPr/>
      </xdr:nvSpPr>
      <xdr:spPr bwMode="auto">
        <a:xfrm>
          <a:off x="12106275" y="319614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151</xdr:row>
      <xdr:rowOff>119380</xdr:rowOff>
    </xdr:from>
    <xdr:to>
      <xdr:col>17</xdr:col>
      <xdr:colOff>63500</xdr:colOff>
      <xdr:row>152</xdr:row>
      <xdr:rowOff>0</xdr:rowOff>
    </xdr:to>
    <xdr:sp macro="" textlink="">
      <xdr:nvSpPr>
        <xdr:cNvPr id="803" name="nuNumber: 832" hidden="1">
          <a:extLst>
            <a:ext uri="{FF2B5EF4-FFF2-40B4-BE49-F238E27FC236}">
              <a16:creationId xmlns:a16="http://schemas.microsoft.com/office/drawing/2014/main" id="{84A78003-1397-4C16-AD19-0BC08AEAD5EC}"/>
            </a:ext>
          </a:extLst>
        </xdr:cNvPr>
        <xdr:cNvSpPr/>
      </xdr:nvSpPr>
      <xdr:spPr bwMode="auto">
        <a:xfrm>
          <a:off x="12887325" y="319614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151</xdr:row>
      <xdr:rowOff>119380</xdr:rowOff>
    </xdr:from>
    <xdr:to>
      <xdr:col>18</xdr:col>
      <xdr:colOff>63499</xdr:colOff>
      <xdr:row>152</xdr:row>
      <xdr:rowOff>0</xdr:rowOff>
    </xdr:to>
    <xdr:sp macro="" textlink="">
      <xdr:nvSpPr>
        <xdr:cNvPr id="804" name="nuNumber: 833" hidden="1">
          <a:extLst>
            <a:ext uri="{FF2B5EF4-FFF2-40B4-BE49-F238E27FC236}">
              <a16:creationId xmlns:a16="http://schemas.microsoft.com/office/drawing/2014/main" id="{2E40D624-483E-40FB-9FE3-1700CED472DD}"/>
            </a:ext>
          </a:extLst>
        </xdr:cNvPr>
        <xdr:cNvSpPr/>
      </xdr:nvSpPr>
      <xdr:spPr bwMode="auto">
        <a:xfrm>
          <a:off x="13624559" y="31961455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151</xdr:row>
      <xdr:rowOff>119380</xdr:rowOff>
    </xdr:from>
    <xdr:to>
      <xdr:col>19</xdr:col>
      <xdr:colOff>63500</xdr:colOff>
      <xdr:row>152</xdr:row>
      <xdr:rowOff>0</xdr:rowOff>
    </xdr:to>
    <xdr:sp macro="" textlink="">
      <xdr:nvSpPr>
        <xdr:cNvPr id="805" name="nuNumber: 834" hidden="1">
          <a:extLst>
            <a:ext uri="{FF2B5EF4-FFF2-40B4-BE49-F238E27FC236}">
              <a16:creationId xmlns:a16="http://schemas.microsoft.com/office/drawing/2014/main" id="{DFE08BB6-B0B2-414D-A867-DDCA74EA8C2F}"/>
            </a:ext>
          </a:extLst>
        </xdr:cNvPr>
        <xdr:cNvSpPr/>
      </xdr:nvSpPr>
      <xdr:spPr bwMode="auto">
        <a:xfrm>
          <a:off x="14382750" y="319614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151</xdr:row>
      <xdr:rowOff>119380</xdr:rowOff>
    </xdr:from>
    <xdr:to>
      <xdr:col>20</xdr:col>
      <xdr:colOff>63500</xdr:colOff>
      <xdr:row>152</xdr:row>
      <xdr:rowOff>0</xdr:rowOff>
    </xdr:to>
    <xdr:sp macro="" textlink="">
      <xdr:nvSpPr>
        <xdr:cNvPr id="806" name="nuNumber: 835" hidden="1">
          <a:extLst>
            <a:ext uri="{FF2B5EF4-FFF2-40B4-BE49-F238E27FC236}">
              <a16:creationId xmlns:a16="http://schemas.microsoft.com/office/drawing/2014/main" id="{E8ACB23F-F2CB-49B1-B913-46D62B2624F1}"/>
            </a:ext>
          </a:extLst>
        </xdr:cNvPr>
        <xdr:cNvSpPr/>
      </xdr:nvSpPr>
      <xdr:spPr bwMode="auto">
        <a:xfrm>
          <a:off x="15135225" y="319614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151</xdr:row>
      <xdr:rowOff>119380</xdr:rowOff>
    </xdr:from>
    <xdr:to>
      <xdr:col>21</xdr:col>
      <xdr:colOff>63500</xdr:colOff>
      <xdr:row>152</xdr:row>
      <xdr:rowOff>0</xdr:rowOff>
    </xdr:to>
    <xdr:sp macro="" textlink="">
      <xdr:nvSpPr>
        <xdr:cNvPr id="807" name="nuNumber: 836" hidden="1">
          <a:extLst>
            <a:ext uri="{FF2B5EF4-FFF2-40B4-BE49-F238E27FC236}">
              <a16:creationId xmlns:a16="http://schemas.microsoft.com/office/drawing/2014/main" id="{AB918BD0-C3C8-4570-B7D3-026A90B6A0E3}"/>
            </a:ext>
          </a:extLst>
        </xdr:cNvPr>
        <xdr:cNvSpPr/>
      </xdr:nvSpPr>
      <xdr:spPr bwMode="auto">
        <a:xfrm>
          <a:off x="15849600" y="319614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152</xdr:row>
      <xdr:rowOff>119379</xdr:rowOff>
    </xdr:from>
    <xdr:to>
      <xdr:col>8</xdr:col>
      <xdr:colOff>63500</xdr:colOff>
      <xdr:row>152</xdr:row>
      <xdr:rowOff>182879</xdr:rowOff>
    </xdr:to>
    <xdr:sp macro="" textlink="">
      <xdr:nvSpPr>
        <xdr:cNvPr id="808" name="nuNumber: 837" hidden="1">
          <a:extLst>
            <a:ext uri="{FF2B5EF4-FFF2-40B4-BE49-F238E27FC236}">
              <a16:creationId xmlns:a16="http://schemas.microsoft.com/office/drawing/2014/main" id="{ABE3C4C4-2B44-45CD-B5C4-F8DE5567B7AA}"/>
            </a:ext>
          </a:extLst>
        </xdr:cNvPr>
        <xdr:cNvSpPr/>
      </xdr:nvSpPr>
      <xdr:spPr bwMode="auto">
        <a:xfrm>
          <a:off x="5562600" y="321710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152</xdr:row>
      <xdr:rowOff>119379</xdr:rowOff>
    </xdr:from>
    <xdr:to>
      <xdr:col>9</xdr:col>
      <xdr:colOff>63500</xdr:colOff>
      <xdr:row>152</xdr:row>
      <xdr:rowOff>182879</xdr:rowOff>
    </xdr:to>
    <xdr:sp macro="" textlink="">
      <xdr:nvSpPr>
        <xdr:cNvPr id="809" name="nuNumber: 838" hidden="1">
          <a:extLst>
            <a:ext uri="{FF2B5EF4-FFF2-40B4-BE49-F238E27FC236}">
              <a16:creationId xmlns:a16="http://schemas.microsoft.com/office/drawing/2014/main" id="{ADF7B1F3-BE05-48C0-8A52-3F532B5215EE}"/>
            </a:ext>
          </a:extLst>
        </xdr:cNvPr>
        <xdr:cNvSpPr/>
      </xdr:nvSpPr>
      <xdr:spPr bwMode="auto">
        <a:xfrm>
          <a:off x="6467475" y="321710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152</xdr:row>
      <xdr:rowOff>119379</xdr:rowOff>
    </xdr:from>
    <xdr:to>
      <xdr:col>10</xdr:col>
      <xdr:colOff>63500</xdr:colOff>
      <xdr:row>152</xdr:row>
      <xdr:rowOff>182879</xdr:rowOff>
    </xdr:to>
    <xdr:sp macro="" textlink="">
      <xdr:nvSpPr>
        <xdr:cNvPr id="810" name="nuNumber: 839" hidden="1">
          <a:extLst>
            <a:ext uri="{FF2B5EF4-FFF2-40B4-BE49-F238E27FC236}">
              <a16:creationId xmlns:a16="http://schemas.microsoft.com/office/drawing/2014/main" id="{EB3E94B6-4B4B-4367-ADC5-994356BEC0CD}"/>
            </a:ext>
          </a:extLst>
        </xdr:cNvPr>
        <xdr:cNvSpPr/>
      </xdr:nvSpPr>
      <xdr:spPr bwMode="auto">
        <a:xfrm>
          <a:off x="7315200" y="321710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152</xdr:row>
      <xdr:rowOff>119379</xdr:rowOff>
    </xdr:from>
    <xdr:to>
      <xdr:col>11</xdr:col>
      <xdr:colOff>63500</xdr:colOff>
      <xdr:row>152</xdr:row>
      <xdr:rowOff>182879</xdr:rowOff>
    </xdr:to>
    <xdr:sp macro="" textlink="">
      <xdr:nvSpPr>
        <xdr:cNvPr id="811" name="nuNumber: 840" hidden="1">
          <a:extLst>
            <a:ext uri="{FF2B5EF4-FFF2-40B4-BE49-F238E27FC236}">
              <a16:creationId xmlns:a16="http://schemas.microsoft.com/office/drawing/2014/main" id="{05941E03-46FF-4D1C-8017-7C53463C5DFB}"/>
            </a:ext>
          </a:extLst>
        </xdr:cNvPr>
        <xdr:cNvSpPr/>
      </xdr:nvSpPr>
      <xdr:spPr bwMode="auto">
        <a:xfrm>
          <a:off x="8105775" y="321710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152</xdr:row>
      <xdr:rowOff>119379</xdr:rowOff>
    </xdr:from>
    <xdr:to>
      <xdr:col>12</xdr:col>
      <xdr:colOff>63500</xdr:colOff>
      <xdr:row>152</xdr:row>
      <xdr:rowOff>182879</xdr:rowOff>
    </xdr:to>
    <xdr:sp macro="" textlink="">
      <xdr:nvSpPr>
        <xdr:cNvPr id="812" name="nuNumber: 841" hidden="1">
          <a:extLst>
            <a:ext uri="{FF2B5EF4-FFF2-40B4-BE49-F238E27FC236}">
              <a16:creationId xmlns:a16="http://schemas.microsoft.com/office/drawing/2014/main" id="{C5A3D0C6-3E9F-49FA-8BDB-5581D6B844DE}"/>
            </a:ext>
          </a:extLst>
        </xdr:cNvPr>
        <xdr:cNvSpPr/>
      </xdr:nvSpPr>
      <xdr:spPr bwMode="auto">
        <a:xfrm>
          <a:off x="8972550" y="321710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152</xdr:row>
      <xdr:rowOff>119379</xdr:rowOff>
    </xdr:from>
    <xdr:to>
      <xdr:col>13</xdr:col>
      <xdr:colOff>63500</xdr:colOff>
      <xdr:row>152</xdr:row>
      <xdr:rowOff>182879</xdr:rowOff>
    </xdr:to>
    <xdr:sp macro="" textlink="">
      <xdr:nvSpPr>
        <xdr:cNvPr id="813" name="nuNumber: 842" hidden="1">
          <a:extLst>
            <a:ext uri="{FF2B5EF4-FFF2-40B4-BE49-F238E27FC236}">
              <a16:creationId xmlns:a16="http://schemas.microsoft.com/office/drawing/2014/main" id="{5212D94B-D9AC-47BE-A314-B012E0FD402C}"/>
            </a:ext>
          </a:extLst>
        </xdr:cNvPr>
        <xdr:cNvSpPr/>
      </xdr:nvSpPr>
      <xdr:spPr bwMode="auto">
        <a:xfrm>
          <a:off x="9753600" y="321710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152</xdr:row>
      <xdr:rowOff>119379</xdr:rowOff>
    </xdr:from>
    <xdr:to>
      <xdr:col>14</xdr:col>
      <xdr:colOff>63500</xdr:colOff>
      <xdr:row>152</xdr:row>
      <xdr:rowOff>182879</xdr:rowOff>
    </xdr:to>
    <xdr:sp macro="" textlink="">
      <xdr:nvSpPr>
        <xdr:cNvPr id="814" name="nuNumber: 843" hidden="1">
          <a:extLst>
            <a:ext uri="{FF2B5EF4-FFF2-40B4-BE49-F238E27FC236}">
              <a16:creationId xmlns:a16="http://schemas.microsoft.com/office/drawing/2014/main" id="{D8AFF09D-752F-4206-80F7-7A60A3F00F5E}"/>
            </a:ext>
          </a:extLst>
        </xdr:cNvPr>
        <xdr:cNvSpPr/>
      </xdr:nvSpPr>
      <xdr:spPr bwMode="auto">
        <a:xfrm>
          <a:off x="10515600" y="321710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152</xdr:row>
      <xdr:rowOff>119379</xdr:rowOff>
    </xdr:from>
    <xdr:to>
      <xdr:col>15</xdr:col>
      <xdr:colOff>63500</xdr:colOff>
      <xdr:row>152</xdr:row>
      <xdr:rowOff>182879</xdr:rowOff>
    </xdr:to>
    <xdr:sp macro="" textlink="">
      <xdr:nvSpPr>
        <xdr:cNvPr id="815" name="nuNumber: 844" hidden="1">
          <a:extLst>
            <a:ext uri="{FF2B5EF4-FFF2-40B4-BE49-F238E27FC236}">
              <a16:creationId xmlns:a16="http://schemas.microsoft.com/office/drawing/2014/main" id="{E627A45F-D693-4C20-A802-B0660B6DBB6C}"/>
            </a:ext>
          </a:extLst>
        </xdr:cNvPr>
        <xdr:cNvSpPr/>
      </xdr:nvSpPr>
      <xdr:spPr bwMode="auto">
        <a:xfrm>
          <a:off x="11325225" y="321710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152</xdr:row>
      <xdr:rowOff>119379</xdr:rowOff>
    </xdr:from>
    <xdr:to>
      <xdr:col>16</xdr:col>
      <xdr:colOff>63500</xdr:colOff>
      <xdr:row>152</xdr:row>
      <xdr:rowOff>182879</xdr:rowOff>
    </xdr:to>
    <xdr:sp macro="" textlink="">
      <xdr:nvSpPr>
        <xdr:cNvPr id="816" name="nuNumber: 845" hidden="1">
          <a:extLst>
            <a:ext uri="{FF2B5EF4-FFF2-40B4-BE49-F238E27FC236}">
              <a16:creationId xmlns:a16="http://schemas.microsoft.com/office/drawing/2014/main" id="{119D3496-9CFF-41D6-A942-8CADD1E610D6}"/>
            </a:ext>
          </a:extLst>
        </xdr:cNvPr>
        <xdr:cNvSpPr/>
      </xdr:nvSpPr>
      <xdr:spPr bwMode="auto">
        <a:xfrm>
          <a:off x="12106275" y="321710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152</xdr:row>
      <xdr:rowOff>119379</xdr:rowOff>
    </xdr:from>
    <xdr:to>
      <xdr:col>17</xdr:col>
      <xdr:colOff>63500</xdr:colOff>
      <xdr:row>152</xdr:row>
      <xdr:rowOff>182879</xdr:rowOff>
    </xdr:to>
    <xdr:sp macro="" textlink="">
      <xdr:nvSpPr>
        <xdr:cNvPr id="817" name="nuNumber: 846" hidden="1">
          <a:extLst>
            <a:ext uri="{FF2B5EF4-FFF2-40B4-BE49-F238E27FC236}">
              <a16:creationId xmlns:a16="http://schemas.microsoft.com/office/drawing/2014/main" id="{1A4B73B1-3795-451E-B10E-765736B17489}"/>
            </a:ext>
          </a:extLst>
        </xdr:cNvPr>
        <xdr:cNvSpPr/>
      </xdr:nvSpPr>
      <xdr:spPr bwMode="auto">
        <a:xfrm>
          <a:off x="12887325" y="321710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152</xdr:row>
      <xdr:rowOff>119379</xdr:rowOff>
    </xdr:from>
    <xdr:to>
      <xdr:col>18</xdr:col>
      <xdr:colOff>63499</xdr:colOff>
      <xdr:row>152</xdr:row>
      <xdr:rowOff>182879</xdr:rowOff>
    </xdr:to>
    <xdr:sp macro="" textlink="">
      <xdr:nvSpPr>
        <xdr:cNvPr id="818" name="nuNumber: 847" hidden="1">
          <a:extLst>
            <a:ext uri="{FF2B5EF4-FFF2-40B4-BE49-F238E27FC236}">
              <a16:creationId xmlns:a16="http://schemas.microsoft.com/office/drawing/2014/main" id="{318518F8-988C-476F-97A3-00EE45822DC2}"/>
            </a:ext>
          </a:extLst>
        </xdr:cNvPr>
        <xdr:cNvSpPr/>
      </xdr:nvSpPr>
      <xdr:spPr bwMode="auto">
        <a:xfrm>
          <a:off x="13624559" y="32171004"/>
          <a:ext cx="5969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152</xdr:row>
      <xdr:rowOff>119379</xdr:rowOff>
    </xdr:from>
    <xdr:to>
      <xdr:col>19</xdr:col>
      <xdr:colOff>63500</xdr:colOff>
      <xdr:row>152</xdr:row>
      <xdr:rowOff>182879</xdr:rowOff>
    </xdr:to>
    <xdr:sp macro="" textlink="">
      <xdr:nvSpPr>
        <xdr:cNvPr id="819" name="nuNumber: 848" hidden="1">
          <a:extLst>
            <a:ext uri="{FF2B5EF4-FFF2-40B4-BE49-F238E27FC236}">
              <a16:creationId xmlns:a16="http://schemas.microsoft.com/office/drawing/2014/main" id="{A9133940-806C-4366-8ACF-ADCF4C5477EB}"/>
            </a:ext>
          </a:extLst>
        </xdr:cNvPr>
        <xdr:cNvSpPr/>
      </xdr:nvSpPr>
      <xdr:spPr bwMode="auto">
        <a:xfrm>
          <a:off x="14382750" y="321710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152</xdr:row>
      <xdr:rowOff>119379</xdr:rowOff>
    </xdr:from>
    <xdr:to>
      <xdr:col>20</xdr:col>
      <xdr:colOff>63500</xdr:colOff>
      <xdr:row>152</xdr:row>
      <xdr:rowOff>182879</xdr:rowOff>
    </xdr:to>
    <xdr:sp macro="" textlink="">
      <xdr:nvSpPr>
        <xdr:cNvPr id="820" name="nuNumber: 849" hidden="1">
          <a:extLst>
            <a:ext uri="{FF2B5EF4-FFF2-40B4-BE49-F238E27FC236}">
              <a16:creationId xmlns:a16="http://schemas.microsoft.com/office/drawing/2014/main" id="{7B9C0078-A044-4F4A-B374-36E53A61D330}"/>
            </a:ext>
          </a:extLst>
        </xdr:cNvPr>
        <xdr:cNvSpPr/>
      </xdr:nvSpPr>
      <xdr:spPr bwMode="auto">
        <a:xfrm>
          <a:off x="15135225" y="321710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152</xdr:row>
      <xdr:rowOff>119379</xdr:rowOff>
    </xdr:from>
    <xdr:to>
      <xdr:col>21</xdr:col>
      <xdr:colOff>63500</xdr:colOff>
      <xdr:row>152</xdr:row>
      <xdr:rowOff>182879</xdr:rowOff>
    </xdr:to>
    <xdr:sp macro="" textlink="">
      <xdr:nvSpPr>
        <xdr:cNvPr id="821" name="nuNumber: 850" hidden="1">
          <a:extLst>
            <a:ext uri="{FF2B5EF4-FFF2-40B4-BE49-F238E27FC236}">
              <a16:creationId xmlns:a16="http://schemas.microsoft.com/office/drawing/2014/main" id="{58A86759-57EB-456F-9971-484F3965B569}"/>
            </a:ext>
          </a:extLst>
        </xdr:cNvPr>
        <xdr:cNvSpPr/>
      </xdr:nvSpPr>
      <xdr:spPr bwMode="auto">
        <a:xfrm>
          <a:off x="15849600" y="321710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153</xdr:row>
      <xdr:rowOff>119381</xdr:rowOff>
    </xdr:from>
    <xdr:to>
      <xdr:col>6</xdr:col>
      <xdr:colOff>63500</xdr:colOff>
      <xdr:row>154</xdr:row>
      <xdr:rowOff>1</xdr:rowOff>
    </xdr:to>
    <xdr:sp macro="" textlink="">
      <xdr:nvSpPr>
        <xdr:cNvPr id="822" name="nuNumber: 851" hidden="1">
          <a:extLst>
            <a:ext uri="{FF2B5EF4-FFF2-40B4-BE49-F238E27FC236}">
              <a16:creationId xmlns:a16="http://schemas.microsoft.com/office/drawing/2014/main" id="{7FB6C09F-42EB-4140-830D-60FFFB55C653}"/>
            </a:ext>
          </a:extLst>
        </xdr:cNvPr>
        <xdr:cNvSpPr/>
      </xdr:nvSpPr>
      <xdr:spPr bwMode="auto">
        <a:xfrm>
          <a:off x="3800475" y="323805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153</xdr:row>
      <xdr:rowOff>119381</xdr:rowOff>
    </xdr:from>
    <xdr:to>
      <xdr:col>7</xdr:col>
      <xdr:colOff>63500</xdr:colOff>
      <xdr:row>154</xdr:row>
      <xdr:rowOff>1</xdr:rowOff>
    </xdr:to>
    <xdr:sp macro="" textlink="">
      <xdr:nvSpPr>
        <xdr:cNvPr id="823" name="nuNumber: 852" hidden="1">
          <a:extLst>
            <a:ext uri="{FF2B5EF4-FFF2-40B4-BE49-F238E27FC236}">
              <a16:creationId xmlns:a16="http://schemas.microsoft.com/office/drawing/2014/main" id="{F7AB5BB9-2538-4DE3-B58E-77ABCAE5B7D5}"/>
            </a:ext>
          </a:extLst>
        </xdr:cNvPr>
        <xdr:cNvSpPr/>
      </xdr:nvSpPr>
      <xdr:spPr bwMode="auto">
        <a:xfrm>
          <a:off x="4676775" y="323805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153</xdr:row>
      <xdr:rowOff>119381</xdr:rowOff>
    </xdr:from>
    <xdr:to>
      <xdr:col>8</xdr:col>
      <xdr:colOff>63500</xdr:colOff>
      <xdr:row>154</xdr:row>
      <xdr:rowOff>1</xdr:rowOff>
    </xdr:to>
    <xdr:sp macro="" textlink="">
      <xdr:nvSpPr>
        <xdr:cNvPr id="824" name="nuNumber: 853" hidden="1">
          <a:extLst>
            <a:ext uri="{FF2B5EF4-FFF2-40B4-BE49-F238E27FC236}">
              <a16:creationId xmlns:a16="http://schemas.microsoft.com/office/drawing/2014/main" id="{9599557C-FD73-4666-A30A-E0EEF16A940C}"/>
            </a:ext>
          </a:extLst>
        </xdr:cNvPr>
        <xdr:cNvSpPr/>
      </xdr:nvSpPr>
      <xdr:spPr bwMode="auto">
        <a:xfrm>
          <a:off x="5562600" y="323805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153</xdr:row>
      <xdr:rowOff>119381</xdr:rowOff>
    </xdr:from>
    <xdr:to>
      <xdr:col>9</xdr:col>
      <xdr:colOff>63500</xdr:colOff>
      <xdr:row>154</xdr:row>
      <xdr:rowOff>1</xdr:rowOff>
    </xdr:to>
    <xdr:sp macro="" textlink="">
      <xdr:nvSpPr>
        <xdr:cNvPr id="825" name="nuNumber: 854" hidden="1">
          <a:extLst>
            <a:ext uri="{FF2B5EF4-FFF2-40B4-BE49-F238E27FC236}">
              <a16:creationId xmlns:a16="http://schemas.microsoft.com/office/drawing/2014/main" id="{8839E65B-FE41-446D-B98C-F19AE75375ED}"/>
            </a:ext>
          </a:extLst>
        </xdr:cNvPr>
        <xdr:cNvSpPr/>
      </xdr:nvSpPr>
      <xdr:spPr bwMode="auto">
        <a:xfrm>
          <a:off x="6467475" y="323805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153</xdr:row>
      <xdr:rowOff>119381</xdr:rowOff>
    </xdr:from>
    <xdr:to>
      <xdr:col>9</xdr:col>
      <xdr:colOff>63500</xdr:colOff>
      <xdr:row>154</xdr:row>
      <xdr:rowOff>1</xdr:rowOff>
    </xdr:to>
    <xdr:sp macro="" textlink="">
      <xdr:nvSpPr>
        <xdr:cNvPr id="826" name="nuNumber: 855" hidden="1">
          <a:extLst>
            <a:ext uri="{FF2B5EF4-FFF2-40B4-BE49-F238E27FC236}">
              <a16:creationId xmlns:a16="http://schemas.microsoft.com/office/drawing/2014/main" id="{C9EEF995-F9C0-4811-B844-381CC9DEFBC6}"/>
            </a:ext>
          </a:extLst>
        </xdr:cNvPr>
        <xdr:cNvSpPr/>
      </xdr:nvSpPr>
      <xdr:spPr bwMode="auto">
        <a:xfrm>
          <a:off x="6467475" y="323805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153</xdr:row>
      <xdr:rowOff>119381</xdr:rowOff>
    </xdr:from>
    <xdr:to>
      <xdr:col>11</xdr:col>
      <xdr:colOff>63500</xdr:colOff>
      <xdr:row>154</xdr:row>
      <xdr:rowOff>1</xdr:rowOff>
    </xdr:to>
    <xdr:sp macro="" textlink="">
      <xdr:nvSpPr>
        <xdr:cNvPr id="827" name="nuNumber: 856" hidden="1">
          <a:extLst>
            <a:ext uri="{FF2B5EF4-FFF2-40B4-BE49-F238E27FC236}">
              <a16:creationId xmlns:a16="http://schemas.microsoft.com/office/drawing/2014/main" id="{25876A19-DC8F-43AF-AC33-E0DB9C486986}"/>
            </a:ext>
          </a:extLst>
        </xdr:cNvPr>
        <xdr:cNvSpPr/>
      </xdr:nvSpPr>
      <xdr:spPr bwMode="auto">
        <a:xfrm>
          <a:off x="8105775" y="323805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153</xdr:row>
      <xdr:rowOff>119381</xdr:rowOff>
    </xdr:from>
    <xdr:to>
      <xdr:col>12</xdr:col>
      <xdr:colOff>63500</xdr:colOff>
      <xdr:row>154</xdr:row>
      <xdr:rowOff>1</xdr:rowOff>
    </xdr:to>
    <xdr:sp macro="" textlink="">
      <xdr:nvSpPr>
        <xdr:cNvPr id="828" name="nuNumber: 857" hidden="1">
          <a:extLst>
            <a:ext uri="{FF2B5EF4-FFF2-40B4-BE49-F238E27FC236}">
              <a16:creationId xmlns:a16="http://schemas.microsoft.com/office/drawing/2014/main" id="{060EDD35-DD13-4961-8234-46309C0289E2}"/>
            </a:ext>
          </a:extLst>
        </xdr:cNvPr>
        <xdr:cNvSpPr/>
      </xdr:nvSpPr>
      <xdr:spPr bwMode="auto">
        <a:xfrm>
          <a:off x="8972550" y="323805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153</xdr:row>
      <xdr:rowOff>119381</xdr:rowOff>
    </xdr:from>
    <xdr:to>
      <xdr:col>13</xdr:col>
      <xdr:colOff>63500</xdr:colOff>
      <xdr:row>154</xdr:row>
      <xdr:rowOff>1</xdr:rowOff>
    </xdr:to>
    <xdr:sp macro="" textlink="">
      <xdr:nvSpPr>
        <xdr:cNvPr id="829" name="nuNumber: 858" hidden="1">
          <a:extLst>
            <a:ext uri="{FF2B5EF4-FFF2-40B4-BE49-F238E27FC236}">
              <a16:creationId xmlns:a16="http://schemas.microsoft.com/office/drawing/2014/main" id="{590350BE-A0CA-4B6B-B61D-1A92AF6FB048}"/>
            </a:ext>
          </a:extLst>
        </xdr:cNvPr>
        <xdr:cNvSpPr/>
      </xdr:nvSpPr>
      <xdr:spPr bwMode="auto">
        <a:xfrm>
          <a:off x="9753600" y="323805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153</xdr:row>
      <xdr:rowOff>119381</xdr:rowOff>
    </xdr:from>
    <xdr:to>
      <xdr:col>14</xdr:col>
      <xdr:colOff>63500</xdr:colOff>
      <xdr:row>154</xdr:row>
      <xdr:rowOff>1</xdr:rowOff>
    </xdr:to>
    <xdr:sp macro="" textlink="">
      <xdr:nvSpPr>
        <xdr:cNvPr id="830" name="nuNumber: 859" hidden="1">
          <a:extLst>
            <a:ext uri="{FF2B5EF4-FFF2-40B4-BE49-F238E27FC236}">
              <a16:creationId xmlns:a16="http://schemas.microsoft.com/office/drawing/2014/main" id="{FB0B474C-BB34-45A1-9F2B-08987DFBA0F2}"/>
            </a:ext>
          </a:extLst>
        </xdr:cNvPr>
        <xdr:cNvSpPr/>
      </xdr:nvSpPr>
      <xdr:spPr bwMode="auto">
        <a:xfrm>
          <a:off x="10515600" y="323805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153</xdr:row>
      <xdr:rowOff>119381</xdr:rowOff>
    </xdr:from>
    <xdr:to>
      <xdr:col>15</xdr:col>
      <xdr:colOff>63500</xdr:colOff>
      <xdr:row>154</xdr:row>
      <xdr:rowOff>1</xdr:rowOff>
    </xdr:to>
    <xdr:sp macro="" textlink="">
      <xdr:nvSpPr>
        <xdr:cNvPr id="831" name="nuNumber: 860" hidden="1">
          <a:extLst>
            <a:ext uri="{FF2B5EF4-FFF2-40B4-BE49-F238E27FC236}">
              <a16:creationId xmlns:a16="http://schemas.microsoft.com/office/drawing/2014/main" id="{1A047AFC-3916-451A-89CB-EEDCA53744B9}"/>
            </a:ext>
          </a:extLst>
        </xdr:cNvPr>
        <xdr:cNvSpPr/>
      </xdr:nvSpPr>
      <xdr:spPr bwMode="auto">
        <a:xfrm>
          <a:off x="11325225" y="323805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153</xdr:row>
      <xdr:rowOff>119381</xdr:rowOff>
    </xdr:from>
    <xdr:to>
      <xdr:col>16</xdr:col>
      <xdr:colOff>63500</xdr:colOff>
      <xdr:row>154</xdr:row>
      <xdr:rowOff>1</xdr:rowOff>
    </xdr:to>
    <xdr:sp macro="" textlink="">
      <xdr:nvSpPr>
        <xdr:cNvPr id="832" name="nuNumber: 861" hidden="1">
          <a:extLst>
            <a:ext uri="{FF2B5EF4-FFF2-40B4-BE49-F238E27FC236}">
              <a16:creationId xmlns:a16="http://schemas.microsoft.com/office/drawing/2014/main" id="{190CB80A-30C6-4639-AED3-34674C7F3F14}"/>
            </a:ext>
          </a:extLst>
        </xdr:cNvPr>
        <xdr:cNvSpPr/>
      </xdr:nvSpPr>
      <xdr:spPr bwMode="auto">
        <a:xfrm>
          <a:off x="12106275" y="323805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153</xdr:row>
      <xdr:rowOff>119381</xdr:rowOff>
    </xdr:from>
    <xdr:to>
      <xdr:col>17</xdr:col>
      <xdr:colOff>63500</xdr:colOff>
      <xdr:row>154</xdr:row>
      <xdr:rowOff>1</xdr:rowOff>
    </xdr:to>
    <xdr:sp macro="" textlink="">
      <xdr:nvSpPr>
        <xdr:cNvPr id="833" name="nuNumber: 862" hidden="1">
          <a:extLst>
            <a:ext uri="{FF2B5EF4-FFF2-40B4-BE49-F238E27FC236}">
              <a16:creationId xmlns:a16="http://schemas.microsoft.com/office/drawing/2014/main" id="{499643AC-284B-4312-B2E6-4DF5B343FD6E}"/>
            </a:ext>
          </a:extLst>
        </xdr:cNvPr>
        <xdr:cNvSpPr/>
      </xdr:nvSpPr>
      <xdr:spPr bwMode="auto">
        <a:xfrm>
          <a:off x="12887325" y="323805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153</xdr:row>
      <xdr:rowOff>119381</xdr:rowOff>
    </xdr:from>
    <xdr:to>
      <xdr:col>18</xdr:col>
      <xdr:colOff>63499</xdr:colOff>
      <xdr:row>154</xdr:row>
      <xdr:rowOff>1</xdr:rowOff>
    </xdr:to>
    <xdr:sp macro="" textlink="">
      <xdr:nvSpPr>
        <xdr:cNvPr id="834" name="nuNumber: 863" hidden="1">
          <a:extLst>
            <a:ext uri="{FF2B5EF4-FFF2-40B4-BE49-F238E27FC236}">
              <a16:creationId xmlns:a16="http://schemas.microsoft.com/office/drawing/2014/main" id="{9C58790E-E4C7-4779-A150-27DCCE78D891}"/>
            </a:ext>
          </a:extLst>
        </xdr:cNvPr>
        <xdr:cNvSpPr/>
      </xdr:nvSpPr>
      <xdr:spPr bwMode="auto">
        <a:xfrm>
          <a:off x="13624559" y="32380556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153</xdr:row>
      <xdr:rowOff>119381</xdr:rowOff>
    </xdr:from>
    <xdr:to>
      <xdr:col>19</xdr:col>
      <xdr:colOff>63500</xdr:colOff>
      <xdr:row>154</xdr:row>
      <xdr:rowOff>1</xdr:rowOff>
    </xdr:to>
    <xdr:sp macro="" textlink="">
      <xdr:nvSpPr>
        <xdr:cNvPr id="835" name="nuNumber: 864" hidden="1">
          <a:extLst>
            <a:ext uri="{FF2B5EF4-FFF2-40B4-BE49-F238E27FC236}">
              <a16:creationId xmlns:a16="http://schemas.microsoft.com/office/drawing/2014/main" id="{4CD7878E-822C-4518-9E96-AE05FF6B948B}"/>
            </a:ext>
          </a:extLst>
        </xdr:cNvPr>
        <xdr:cNvSpPr/>
      </xdr:nvSpPr>
      <xdr:spPr bwMode="auto">
        <a:xfrm>
          <a:off x="14382750" y="323805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153</xdr:row>
      <xdr:rowOff>119381</xdr:rowOff>
    </xdr:from>
    <xdr:to>
      <xdr:col>20</xdr:col>
      <xdr:colOff>63500</xdr:colOff>
      <xdr:row>154</xdr:row>
      <xdr:rowOff>1</xdr:rowOff>
    </xdr:to>
    <xdr:sp macro="" textlink="">
      <xdr:nvSpPr>
        <xdr:cNvPr id="836" name="nuNumber: 865" hidden="1">
          <a:extLst>
            <a:ext uri="{FF2B5EF4-FFF2-40B4-BE49-F238E27FC236}">
              <a16:creationId xmlns:a16="http://schemas.microsoft.com/office/drawing/2014/main" id="{91DA75C3-617E-46A7-A367-BFA469A2B232}"/>
            </a:ext>
          </a:extLst>
        </xdr:cNvPr>
        <xdr:cNvSpPr/>
      </xdr:nvSpPr>
      <xdr:spPr bwMode="auto">
        <a:xfrm>
          <a:off x="15135225" y="323805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153</xdr:row>
      <xdr:rowOff>119381</xdr:rowOff>
    </xdr:from>
    <xdr:to>
      <xdr:col>21</xdr:col>
      <xdr:colOff>63500</xdr:colOff>
      <xdr:row>154</xdr:row>
      <xdr:rowOff>1</xdr:rowOff>
    </xdr:to>
    <xdr:sp macro="" textlink="">
      <xdr:nvSpPr>
        <xdr:cNvPr id="837" name="nuNumber: 866" hidden="1">
          <a:extLst>
            <a:ext uri="{FF2B5EF4-FFF2-40B4-BE49-F238E27FC236}">
              <a16:creationId xmlns:a16="http://schemas.microsoft.com/office/drawing/2014/main" id="{17CA13EA-598F-4A54-B6BE-B411F9BED504}"/>
            </a:ext>
          </a:extLst>
        </xdr:cNvPr>
        <xdr:cNvSpPr/>
      </xdr:nvSpPr>
      <xdr:spPr bwMode="auto">
        <a:xfrm>
          <a:off x="15849600" y="323805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157</xdr:row>
      <xdr:rowOff>119380</xdr:rowOff>
    </xdr:from>
    <xdr:to>
      <xdr:col>7</xdr:col>
      <xdr:colOff>63500</xdr:colOff>
      <xdr:row>158</xdr:row>
      <xdr:rowOff>0</xdr:rowOff>
    </xdr:to>
    <xdr:sp macro="" textlink="">
      <xdr:nvSpPr>
        <xdr:cNvPr id="838" name="nuNumber: 867" hidden="1">
          <a:extLst>
            <a:ext uri="{FF2B5EF4-FFF2-40B4-BE49-F238E27FC236}">
              <a16:creationId xmlns:a16="http://schemas.microsoft.com/office/drawing/2014/main" id="{34179189-0AA7-4411-9BEF-151DD77E4DF9}"/>
            </a:ext>
          </a:extLst>
        </xdr:cNvPr>
        <xdr:cNvSpPr/>
      </xdr:nvSpPr>
      <xdr:spPr bwMode="auto">
        <a:xfrm>
          <a:off x="4676775" y="3325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157</xdr:row>
      <xdr:rowOff>119380</xdr:rowOff>
    </xdr:from>
    <xdr:to>
      <xdr:col>8</xdr:col>
      <xdr:colOff>63500</xdr:colOff>
      <xdr:row>158</xdr:row>
      <xdr:rowOff>0</xdr:rowOff>
    </xdr:to>
    <xdr:sp macro="" textlink="">
      <xdr:nvSpPr>
        <xdr:cNvPr id="839" name="nuNumber: 868" hidden="1">
          <a:extLst>
            <a:ext uri="{FF2B5EF4-FFF2-40B4-BE49-F238E27FC236}">
              <a16:creationId xmlns:a16="http://schemas.microsoft.com/office/drawing/2014/main" id="{B9E45DE6-4C19-4A10-B03B-52197C2E1DAC}"/>
            </a:ext>
          </a:extLst>
        </xdr:cNvPr>
        <xdr:cNvSpPr/>
      </xdr:nvSpPr>
      <xdr:spPr bwMode="auto">
        <a:xfrm>
          <a:off x="5562600" y="3325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157</xdr:row>
      <xdr:rowOff>119380</xdr:rowOff>
    </xdr:from>
    <xdr:to>
      <xdr:col>9</xdr:col>
      <xdr:colOff>63500</xdr:colOff>
      <xdr:row>158</xdr:row>
      <xdr:rowOff>0</xdr:rowOff>
    </xdr:to>
    <xdr:sp macro="" textlink="">
      <xdr:nvSpPr>
        <xdr:cNvPr id="840" name="nuNumber: 869" hidden="1">
          <a:extLst>
            <a:ext uri="{FF2B5EF4-FFF2-40B4-BE49-F238E27FC236}">
              <a16:creationId xmlns:a16="http://schemas.microsoft.com/office/drawing/2014/main" id="{A10C0DA2-B097-4E0E-9230-D5672532C578}"/>
            </a:ext>
          </a:extLst>
        </xdr:cNvPr>
        <xdr:cNvSpPr/>
      </xdr:nvSpPr>
      <xdr:spPr bwMode="auto">
        <a:xfrm>
          <a:off x="6467475" y="3325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157</xdr:row>
      <xdr:rowOff>119380</xdr:rowOff>
    </xdr:from>
    <xdr:to>
      <xdr:col>11</xdr:col>
      <xdr:colOff>63500</xdr:colOff>
      <xdr:row>158</xdr:row>
      <xdr:rowOff>0</xdr:rowOff>
    </xdr:to>
    <xdr:sp macro="" textlink="">
      <xdr:nvSpPr>
        <xdr:cNvPr id="841" name="nuNumber: 870" hidden="1">
          <a:extLst>
            <a:ext uri="{FF2B5EF4-FFF2-40B4-BE49-F238E27FC236}">
              <a16:creationId xmlns:a16="http://schemas.microsoft.com/office/drawing/2014/main" id="{A900D3FC-3934-4D25-9BC8-490D9E6EC316}"/>
            </a:ext>
          </a:extLst>
        </xdr:cNvPr>
        <xdr:cNvSpPr/>
      </xdr:nvSpPr>
      <xdr:spPr bwMode="auto">
        <a:xfrm>
          <a:off x="8105775" y="3325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157</xdr:row>
      <xdr:rowOff>119380</xdr:rowOff>
    </xdr:from>
    <xdr:to>
      <xdr:col>12</xdr:col>
      <xdr:colOff>63500</xdr:colOff>
      <xdr:row>158</xdr:row>
      <xdr:rowOff>0</xdr:rowOff>
    </xdr:to>
    <xdr:sp macro="" textlink="">
      <xdr:nvSpPr>
        <xdr:cNvPr id="842" name="nuNumber: 871" hidden="1">
          <a:extLst>
            <a:ext uri="{FF2B5EF4-FFF2-40B4-BE49-F238E27FC236}">
              <a16:creationId xmlns:a16="http://schemas.microsoft.com/office/drawing/2014/main" id="{FA65AB78-5773-4004-A38D-9A14C779670C}"/>
            </a:ext>
          </a:extLst>
        </xdr:cNvPr>
        <xdr:cNvSpPr/>
      </xdr:nvSpPr>
      <xdr:spPr bwMode="auto">
        <a:xfrm>
          <a:off x="8972550" y="3325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157</xdr:row>
      <xdr:rowOff>119380</xdr:rowOff>
    </xdr:from>
    <xdr:to>
      <xdr:col>13</xdr:col>
      <xdr:colOff>63500</xdr:colOff>
      <xdr:row>158</xdr:row>
      <xdr:rowOff>0</xdr:rowOff>
    </xdr:to>
    <xdr:sp macro="" textlink="">
      <xdr:nvSpPr>
        <xdr:cNvPr id="843" name="nuNumber: 872" hidden="1">
          <a:extLst>
            <a:ext uri="{FF2B5EF4-FFF2-40B4-BE49-F238E27FC236}">
              <a16:creationId xmlns:a16="http://schemas.microsoft.com/office/drawing/2014/main" id="{414A5F9E-5A8E-46A1-BB54-2B911BA6ACF0}"/>
            </a:ext>
          </a:extLst>
        </xdr:cNvPr>
        <xdr:cNvSpPr/>
      </xdr:nvSpPr>
      <xdr:spPr bwMode="auto">
        <a:xfrm>
          <a:off x="9753600" y="3325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157</xdr:row>
      <xdr:rowOff>119380</xdr:rowOff>
    </xdr:from>
    <xdr:to>
      <xdr:col>14</xdr:col>
      <xdr:colOff>63500</xdr:colOff>
      <xdr:row>158</xdr:row>
      <xdr:rowOff>0</xdr:rowOff>
    </xdr:to>
    <xdr:sp macro="" textlink="">
      <xdr:nvSpPr>
        <xdr:cNvPr id="844" name="nuNumber: 873" hidden="1">
          <a:extLst>
            <a:ext uri="{FF2B5EF4-FFF2-40B4-BE49-F238E27FC236}">
              <a16:creationId xmlns:a16="http://schemas.microsoft.com/office/drawing/2014/main" id="{AB45A4BF-DFD6-4EFB-8AF3-D231D194C52E}"/>
            </a:ext>
          </a:extLst>
        </xdr:cNvPr>
        <xdr:cNvSpPr/>
      </xdr:nvSpPr>
      <xdr:spPr bwMode="auto">
        <a:xfrm>
          <a:off x="10515600" y="3325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157</xdr:row>
      <xdr:rowOff>119380</xdr:rowOff>
    </xdr:from>
    <xdr:to>
      <xdr:col>15</xdr:col>
      <xdr:colOff>63500</xdr:colOff>
      <xdr:row>158</xdr:row>
      <xdr:rowOff>0</xdr:rowOff>
    </xdr:to>
    <xdr:sp macro="" textlink="">
      <xdr:nvSpPr>
        <xdr:cNvPr id="845" name="nuNumber: 874" hidden="1">
          <a:extLst>
            <a:ext uri="{FF2B5EF4-FFF2-40B4-BE49-F238E27FC236}">
              <a16:creationId xmlns:a16="http://schemas.microsoft.com/office/drawing/2014/main" id="{0FDB912D-6F1B-4D16-BD13-619C7E308DFE}"/>
            </a:ext>
          </a:extLst>
        </xdr:cNvPr>
        <xdr:cNvSpPr/>
      </xdr:nvSpPr>
      <xdr:spPr bwMode="auto">
        <a:xfrm>
          <a:off x="11325225" y="3325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157</xdr:row>
      <xdr:rowOff>119380</xdr:rowOff>
    </xdr:from>
    <xdr:to>
      <xdr:col>16</xdr:col>
      <xdr:colOff>63500</xdr:colOff>
      <xdr:row>158</xdr:row>
      <xdr:rowOff>0</xdr:rowOff>
    </xdr:to>
    <xdr:sp macro="" textlink="">
      <xdr:nvSpPr>
        <xdr:cNvPr id="846" name="nuNumber: 875" hidden="1">
          <a:extLst>
            <a:ext uri="{FF2B5EF4-FFF2-40B4-BE49-F238E27FC236}">
              <a16:creationId xmlns:a16="http://schemas.microsoft.com/office/drawing/2014/main" id="{16513911-0B9B-4EF5-8D0B-A961F633019B}"/>
            </a:ext>
          </a:extLst>
        </xdr:cNvPr>
        <xdr:cNvSpPr/>
      </xdr:nvSpPr>
      <xdr:spPr bwMode="auto">
        <a:xfrm>
          <a:off x="12106275" y="3325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157</xdr:row>
      <xdr:rowOff>119380</xdr:rowOff>
    </xdr:from>
    <xdr:to>
      <xdr:col>17</xdr:col>
      <xdr:colOff>63500</xdr:colOff>
      <xdr:row>158</xdr:row>
      <xdr:rowOff>0</xdr:rowOff>
    </xdr:to>
    <xdr:sp macro="" textlink="">
      <xdr:nvSpPr>
        <xdr:cNvPr id="847" name="nuNumber: 876" hidden="1">
          <a:extLst>
            <a:ext uri="{FF2B5EF4-FFF2-40B4-BE49-F238E27FC236}">
              <a16:creationId xmlns:a16="http://schemas.microsoft.com/office/drawing/2014/main" id="{C9ACCE3C-0586-44C2-A992-5763501E37A1}"/>
            </a:ext>
          </a:extLst>
        </xdr:cNvPr>
        <xdr:cNvSpPr/>
      </xdr:nvSpPr>
      <xdr:spPr bwMode="auto">
        <a:xfrm>
          <a:off x="12887325" y="3325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157</xdr:row>
      <xdr:rowOff>119380</xdr:rowOff>
    </xdr:from>
    <xdr:to>
      <xdr:col>18</xdr:col>
      <xdr:colOff>63499</xdr:colOff>
      <xdr:row>158</xdr:row>
      <xdr:rowOff>0</xdr:rowOff>
    </xdr:to>
    <xdr:sp macro="" textlink="">
      <xdr:nvSpPr>
        <xdr:cNvPr id="848" name="nuNumber: 877" hidden="1">
          <a:extLst>
            <a:ext uri="{FF2B5EF4-FFF2-40B4-BE49-F238E27FC236}">
              <a16:creationId xmlns:a16="http://schemas.microsoft.com/office/drawing/2014/main" id="{CA6FD37B-3DBA-4B90-A327-9901B06F3F9F}"/>
            </a:ext>
          </a:extLst>
        </xdr:cNvPr>
        <xdr:cNvSpPr/>
      </xdr:nvSpPr>
      <xdr:spPr bwMode="auto">
        <a:xfrm>
          <a:off x="13624559" y="33256855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157</xdr:row>
      <xdr:rowOff>119380</xdr:rowOff>
    </xdr:from>
    <xdr:to>
      <xdr:col>19</xdr:col>
      <xdr:colOff>63500</xdr:colOff>
      <xdr:row>158</xdr:row>
      <xdr:rowOff>0</xdr:rowOff>
    </xdr:to>
    <xdr:sp macro="" textlink="">
      <xdr:nvSpPr>
        <xdr:cNvPr id="849" name="nuNumber: 878" hidden="1">
          <a:extLst>
            <a:ext uri="{FF2B5EF4-FFF2-40B4-BE49-F238E27FC236}">
              <a16:creationId xmlns:a16="http://schemas.microsoft.com/office/drawing/2014/main" id="{D254B989-A231-4F19-9F96-E0B8F436AB3E}"/>
            </a:ext>
          </a:extLst>
        </xdr:cNvPr>
        <xdr:cNvSpPr/>
      </xdr:nvSpPr>
      <xdr:spPr bwMode="auto">
        <a:xfrm>
          <a:off x="14382750" y="3325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157</xdr:row>
      <xdr:rowOff>119380</xdr:rowOff>
    </xdr:from>
    <xdr:to>
      <xdr:col>20</xdr:col>
      <xdr:colOff>63500</xdr:colOff>
      <xdr:row>158</xdr:row>
      <xdr:rowOff>0</xdr:rowOff>
    </xdr:to>
    <xdr:sp macro="" textlink="">
      <xdr:nvSpPr>
        <xdr:cNvPr id="850" name="nuNumber: 879" hidden="1">
          <a:extLst>
            <a:ext uri="{FF2B5EF4-FFF2-40B4-BE49-F238E27FC236}">
              <a16:creationId xmlns:a16="http://schemas.microsoft.com/office/drawing/2014/main" id="{3E27F304-696B-4984-BC8A-AFED5621A9C3}"/>
            </a:ext>
          </a:extLst>
        </xdr:cNvPr>
        <xdr:cNvSpPr/>
      </xdr:nvSpPr>
      <xdr:spPr bwMode="auto">
        <a:xfrm>
          <a:off x="15135225" y="3325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157</xdr:row>
      <xdr:rowOff>119380</xdr:rowOff>
    </xdr:from>
    <xdr:to>
      <xdr:col>21</xdr:col>
      <xdr:colOff>63500</xdr:colOff>
      <xdr:row>158</xdr:row>
      <xdr:rowOff>0</xdr:rowOff>
    </xdr:to>
    <xdr:sp macro="" textlink="">
      <xdr:nvSpPr>
        <xdr:cNvPr id="851" name="nuNumber: 880" hidden="1">
          <a:extLst>
            <a:ext uri="{FF2B5EF4-FFF2-40B4-BE49-F238E27FC236}">
              <a16:creationId xmlns:a16="http://schemas.microsoft.com/office/drawing/2014/main" id="{AC125330-EDFC-4BD8-AD71-5C7E50733C1A}"/>
            </a:ext>
          </a:extLst>
        </xdr:cNvPr>
        <xdr:cNvSpPr/>
      </xdr:nvSpPr>
      <xdr:spPr bwMode="auto">
        <a:xfrm>
          <a:off x="15849600" y="3325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158</xdr:row>
      <xdr:rowOff>119379</xdr:rowOff>
    </xdr:from>
    <xdr:to>
      <xdr:col>8</xdr:col>
      <xdr:colOff>63500</xdr:colOff>
      <xdr:row>158</xdr:row>
      <xdr:rowOff>182879</xdr:rowOff>
    </xdr:to>
    <xdr:sp macro="" textlink="">
      <xdr:nvSpPr>
        <xdr:cNvPr id="852" name="nuNumber: 881" hidden="1">
          <a:extLst>
            <a:ext uri="{FF2B5EF4-FFF2-40B4-BE49-F238E27FC236}">
              <a16:creationId xmlns:a16="http://schemas.microsoft.com/office/drawing/2014/main" id="{4C06E1E9-FAEC-4EFB-B87C-F77B948AC1B4}"/>
            </a:ext>
          </a:extLst>
        </xdr:cNvPr>
        <xdr:cNvSpPr/>
      </xdr:nvSpPr>
      <xdr:spPr bwMode="auto">
        <a:xfrm>
          <a:off x="5562600" y="334664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159</xdr:row>
      <xdr:rowOff>119381</xdr:rowOff>
    </xdr:from>
    <xdr:to>
      <xdr:col>8</xdr:col>
      <xdr:colOff>63500</xdr:colOff>
      <xdr:row>160</xdr:row>
      <xdr:rowOff>1</xdr:rowOff>
    </xdr:to>
    <xdr:sp macro="" textlink="">
      <xdr:nvSpPr>
        <xdr:cNvPr id="853" name="nuNumber: 882" hidden="1">
          <a:extLst>
            <a:ext uri="{FF2B5EF4-FFF2-40B4-BE49-F238E27FC236}">
              <a16:creationId xmlns:a16="http://schemas.microsoft.com/office/drawing/2014/main" id="{BF5CCEC5-FD41-49FD-9040-6F48B66E1040}"/>
            </a:ext>
          </a:extLst>
        </xdr:cNvPr>
        <xdr:cNvSpPr/>
      </xdr:nvSpPr>
      <xdr:spPr bwMode="auto">
        <a:xfrm>
          <a:off x="5562600" y="33675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160</xdr:row>
      <xdr:rowOff>119379</xdr:rowOff>
    </xdr:from>
    <xdr:to>
      <xdr:col>8</xdr:col>
      <xdr:colOff>63500</xdr:colOff>
      <xdr:row>160</xdr:row>
      <xdr:rowOff>182879</xdr:rowOff>
    </xdr:to>
    <xdr:sp macro="" textlink="">
      <xdr:nvSpPr>
        <xdr:cNvPr id="854" name="nuNumber: 883" hidden="1">
          <a:extLst>
            <a:ext uri="{FF2B5EF4-FFF2-40B4-BE49-F238E27FC236}">
              <a16:creationId xmlns:a16="http://schemas.microsoft.com/office/drawing/2014/main" id="{53B89F8A-514D-4E0C-98A4-097B762C0549}"/>
            </a:ext>
          </a:extLst>
        </xdr:cNvPr>
        <xdr:cNvSpPr/>
      </xdr:nvSpPr>
      <xdr:spPr bwMode="auto">
        <a:xfrm>
          <a:off x="5562600" y="338855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161</xdr:row>
      <xdr:rowOff>119381</xdr:rowOff>
    </xdr:from>
    <xdr:to>
      <xdr:col>8</xdr:col>
      <xdr:colOff>63500</xdr:colOff>
      <xdr:row>162</xdr:row>
      <xdr:rowOff>1</xdr:rowOff>
    </xdr:to>
    <xdr:sp macro="" textlink="">
      <xdr:nvSpPr>
        <xdr:cNvPr id="855" name="nuNumber: 884" hidden="1">
          <a:extLst>
            <a:ext uri="{FF2B5EF4-FFF2-40B4-BE49-F238E27FC236}">
              <a16:creationId xmlns:a16="http://schemas.microsoft.com/office/drawing/2014/main" id="{080A39CB-38DD-4485-8F64-43EDA6680D81}"/>
            </a:ext>
          </a:extLst>
        </xdr:cNvPr>
        <xdr:cNvSpPr/>
      </xdr:nvSpPr>
      <xdr:spPr bwMode="auto">
        <a:xfrm>
          <a:off x="5562600" y="340950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162</xdr:row>
      <xdr:rowOff>119380</xdr:rowOff>
    </xdr:from>
    <xdr:to>
      <xdr:col>8</xdr:col>
      <xdr:colOff>63500</xdr:colOff>
      <xdr:row>163</xdr:row>
      <xdr:rowOff>0</xdr:rowOff>
    </xdr:to>
    <xdr:sp macro="" textlink="">
      <xdr:nvSpPr>
        <xdr:cNvPr id="856" name="nuNumber: 885" hidden="1">
          <a:extLst>
            <a:ext uri="{FF2B5EF4-FFF2-40B4-BE49-F238E27FC236}">
              <a16:creationId xmlns:a16="http://schemas.microsoft.com/office/drawing/2014/main" id="{C7A1AFB6-EC1D-4516-B3E2-0BB48FF20E0E}"/>
            </a:ext>
          </a:extLst>
        </xdr:cNvPr>
        <xdr:cNvSpPr/>
      </xdr:nvSpPr>
      <xdr:spPr bwMode="auto">
        <a:xfrm>
          <a:off x="5562600" y="343046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163</xdr:row>
      <xdr:rowOff>119379</xdr:rowOff>
    </xdr:from>
    <xdr:to>
      <xdr:col>8</xdr:col>
      <xdr:colOff>63500</xdr:colOff>
      <xdr:row>163</xdr:row>
      <xdr:rowOff>182879</xdr:rowOff>
    </xdr:to>
    <xdr:sp macro="" textlink="">
      <xdr:nvSpPr>
        <xdr:cNvPr id="857" name="nuNumber: 886" hidden="1">
          <a:extLst>
            <a:ext uri="{FF2B5EF4-FFF2-40B4-BE49-F238E27FC236}">
              <a16:creationId xmlns:a16="http://schemas.microsoft.com/office/drawing/2014/main" id="{B1ABEB4B-1A0B-4300-AE62-F055B0308104}"/>
            </a:ext>
          </a:extLst>
        </xdr:cNvPr>
        <xdr:cNvSpPr/>
      </xdr:nvSpPr>
      <xdr:spPr bwMode="auto">
        <a:xfrm>
          <a:off x="5562600" y="345141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164</xdr:row>
      <xdr:rowOff>119381</xdr:rowOff>
    </xdr:from>
    <xdr:to>
      <xdr:col>8</xdr:col>
      <xdr:colOff>63500</xdr:colOff>
      <xdr:row>165</xdr:row>
      <xdr:rowOff>1</xdr:rowOff>
    </xdr:to>
    <xdr:sp macro="" textlink="">
      <xdr:nvSpPr>
        <xdr:cNvPr id="858" name="nuNumber: 887" hidden="1">
          <a:extLst>
            <a:ext uri="{FF2B5EF4-FFF2-40B4-BE49-F238E27FC236}">
              <a16:creationId xmlns:a16="http://schemas.microsoft.com/office/drawing/2014/main" id="{C69F0B55-F262-477C-ADB7-51F845E2AD22}"/>
            </a:ext>
          </a:extLst>
        </xdr:cNvPr>
        <xdr:cNvSpPr/>
      </xdr:nvSpPr>
      <xdr:spPr bwMode="auto">
        <a:xfrm>
          <a:off x="5562600" y="347237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165</xdr:row>
      <xdr:rowOff>119379</xdr:rowOff>
    </xdr:from>
    <xdr:to>
      <xdr:col>8</xdr:col>
      <xdr:colOff>63500</xdr:colOff>
      <xdr:row>165</xdr:row>
      <xdr:rowOff>182879</xdr:rowOff>
    </xdr:to>
    <xdr:sp macro="" textlink="">
      <xdr:nvSpPr>
        <xdr:cNvPr id="859" name="nuNumber: 888" hidden="1">
          <a:extLst>
            <a:ext uri="{FF2B5EF4-FFF2-40B4-BE49-F238E27FC236}">
              <a16:creationId xmlns:a16="http://schemas.microsoft.com/office/drawing/2014/main" id="{4788E8D8-EB7F-4B99-BBAB-BBB23DE0F649}"/>
            </a:ext>
          </a:extLst>
        </xdr:cNvPr>
        <xdr:cNvSpPr/>
      </xdr:nvSpPr>
      <xdr:spPr bwMode="auto">
        <a:xfrm>
          <a:off x="5562600" y="349332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166</xdr:row>
      <xdr:rowOff>119381</xdr:rowOff>
    </xdr:from>
    <xdr:to>
      <xdr:col>8</xdr:col>
      <xdr:colOff>63500</xdr:colOff>
      <xdr:row>167</xdr:row>
      <xdr:rowOff>1</xdr:rowOff>
    </xdr:to>
    <xdr:sp macro="" textlink="">
      <xdr:nvSpPr>
        <xdr:cNvPr id="860" name="nuNumber: 889" hidden="1">
          <a:extLst>
            <a:ext uri="{FF2B5EF4-FFF2-40B4-BE49-F238E27FC236}">
              <a16:creationId xmlns:a16="http://schemas.microsoft.com/office/drawing/2014/main" id="{159957DB-25A5-4E3A-AEDC-EA0E48F7236F}"/>
            </a:ext>
          </a:extLst>
        </xdr:cNvPr>
        <xdr:cNvSpPr/>
      </xdr:nvSpPr>
      <xdr:spPr bwMode="auto">
        <a:xfrm>
          <a:off x="5562600" y="351428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171</xdr:row>
      <xdr:rowOff>119379</xdr:rowOff>
    </xdr:from>
    <xdr:to>
      <xdr:col>6</xdr:col>
      <xdr:colOff>63500</xdr:colOff>
      <xdr:row>171</xdr:row>
      <xdr:rowOff>182879</xdr:rowOff>
    </xdr:to>
    <xdr:sp macro="" textlink="">
      <xdr:nvSpPr>
        <xdr:cNvPr id="861" name="nuNumber: 890" hidden="1">
          <a:extLst>
            <a:ext uri="{FF2B5EF4-FFF2-40B4-BE49-F238E27FC236}">
              <a16:creationId xmlns:a16="http://schemas.microsoft.com/office/drawing/2014/main" id="{E3EF78BF-274A-4CEE-891A-5288B8036B5F}"/>
            </a:ext>
          </a:extLst>
        </xdr:cNvPr>
        <xdr:cNvSpPr/>
      </xdr:nvSpPr>
      <xdr:spPr bwMode="auto">
        <a:xfrm>
          <a:off x="3800475" y="361905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171</xdr:row>
      <xdr:rowOff>119379</xdr:rowOff>
    </xdr:from>
    <xdr:to>
      <xdr:col>7</xdr:col>
      <xdr:colOff>63500</xdr:colOff>
      <xdr:row>171</xdr:row>
      <xdr:rowOff>182879</xdr:rowOff>
    </xdr:to>
    <xdr:sp macro="" textlink="">
      <xdr:nvSpPr>
        <xdr:cNvPr id="862" name="nuNumber: 891" hidden="1">
          <a:extLst>
            <a:ext uri="{FF2B5EF4-FFF2-40B4-BE49-F238E27FC236}">
              <a16:creationId xmlns:a16="http://schemas.microsoft.com/office/drawing/2014/main" id="{790C465F-A6B5-4C94-B6F0-38DA03C0FE61}"/>
            </a:ext>
          </a:extLst>
        </xdr:cNvPr>
        <xdr:cNvSpPr/>
      </xdr:nvSpPr>
      <xdr:spPr bwMode="auto">
        <a:xfrm>
          <a:off x="4676775" y="361905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171</xdr:row>
      <xdr:rowOff>119379</xdr:rowOff>
    </xdr:from>
    <xdr:to>
      <xdr:col>8</xdr:col>
      <xdr:colOff>63500</xdr:colOff>
      <xdr:row>171</xdr:row>
      <xdr:rowOff>182879</xdr:rowOff>
    </xdr:to>
    <xdr:sp macro="" textlink="">
      <xdr:nvSpPr>
        <xdr:cNvPr id="863" name="nuNumber: 892" hidden="1">
          <a:extLst>
            <a:ext uri="{FF2B5EF4-FFF2-40B4-BE49-F238E27FC236}">
              <a16:creationId xmlns:a16="http://schemas.microsoft.com/office/drawing/2014/main" id="{B1251C1F-4838-40EA-808C-E9693E86B452}"/>
            </a:ext>
          </a:extLst>
        </xdr:cNvPr>
        <xdr:cNvSpPr/>
      </xdr:nvSpPr>
      <xdr:spPr bwMode="auto">
        <a:xfrm>
          <a:off x="5562600" y="361905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171</xdr:row>
      <xdr:rowOff>119379</xdr:rowOff>
    </xdr:from>
    <xdr:to>
      <xdr:col>9</xdr:col>
      <xdr:colOff>63500</xdr:colOff>
      <xdr:row>171</xdr:row>
      <xdr:rowOff>182879</xdr:rowOff>
    </xdr:to>
    <xdr:sp macro="" textlink="">
      <xdr:nvSpPr>
        <xdr:cNvPr id="864" name="nuNumber: 893" hidden="1">
          <a:extLst>
            <a:ext uri="{FF2B5EF4-FFF2-40B4-BE49-F238E27FC236}">
              <a16:creationId xmlns:a16="http://schemas.microsoft.com/office/drawing/2014/main" id="{98F1246E-C15E-4B1E-A12B-358DA0EB78B7}"/>
            </a:ext>
          </a:extLst>
        </xdr:cNvPr>
        <xdr:cNvSpPr/>
      </xdr:nvSpPr>
      <xdr:spPr bwMode="auto">
        <a:xfrm>
          <a:off x="6467475" y="361905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171</xdr:row>
      <xdr:rowOff>119379</xdr:rowOff>
    </xdr:from>
    <xdr:to>
      <xdr:col>9</xdr:col>
      <xdr:colOff>63500</xdr:colOff>
      <xdr:row>171</xdr:row>
      <xdr:rowOff>182879</xdr:rowOff>
    </xdr:to>
    <xdr:sp macro="" textlink="">
      <xdr:nvSpPr>
        <xdr:cNvPr id="865" name="nuNumber: 894" hidden="1">
          <a:extLst>
            <a:ext uri="{FF2B5EF4-FFF2-40B4-BE49-F238E27FC236}">
              <a16:creationId xmlns:a16="http://schemas.microsoft.com/office/drawing/2014/main" id="{CFEA77A4-29A9-4935-9E87-5ECB08C3458F}"/>
            </a:ext>
          </a:extLst>
        </xdr:cNvPr>
        <xdr:cNvSpPr/>
      </xdr:nvSpPr>
      <xdr:spPr bwMode="auto">
        <a:xfrm>
          <a:off x="6467475" y="361905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171</xdr:row>
      <xdr:rowOff>119379</xdr:rowOff>
    </xdr:from>
    <xdr:to>
      <xdr:col>10</xdr:col>
      <xdr:colOff>63500</xdr:colOff>
      <xdr:row>171</xdr:row>
      <xdr:rowOff>182879</xdr:rowOff>
    </xdr:to>
    <xdr:sp macro="" textlink="">
      <xdr:nvSpPr>
        <xdr:cNvPr id="866" name="nuNumber: 895" hidden="1">
          <a:extLst>
            <a:ext uri="{FF2B5EF4-FFF2-40B4-BE49-F238E27FC236}">
              <a16:creationId xmlns:a16="http://schemas.microsoft.com/office/drawing/2014/main" id="{97668D21-9FD9-43E3-8F8A-E5CF96C84FB9}"/>
            </a:ext>
          </a:extLst>
        </xdr:cNvPr>
        <xdr:cNvSpPr/>
      </xdr:nvSpPr>
      <xdr:spPr bwMode="auto">
        <a:xfrm>
          <a:off x="7315200" y="361905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171</xdr:row>
      <xdr:rowOff>119379</xdr:rowOff>
    </xdr:from>
    <xdr:to>
      <xdr:col>11</xdr:col>
      <xdr:colOff>63500</xdr:colOff>
      <xdr:row>171</xdr:row>
      <xdr:rowOff>182879</xdr:rowOff>
    </xdr:to>
    <xdr:sp macro="" textlink="">
      <xdr:nvSpPr>
        <xdr:cNvPr id="867" name="nuNumber: 896" hidden="1">
          <a:extLst>
            <a:ext uri="{FF2B5EF4-FFF2-40B4-BE49-F238E27FC236}">
              <a16:creationId xmlns:a16="http://schemas.microsoft.com/office/drawing/2014/main" id="{37CAE2E9-7BC3-4EC1-8D29-C8AEACF8C9D4}"/>
            </a:ext>
          </a:extLst>
        </xdr:cNvPr>
        <xdr:cNvSpPr/>
      </xdr:nvSpPr>
      <xdr:spPr bwMode="auto">
        <a:xfrm>
          <a:off x="8105775" y="361905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171</xdr:row>
      <xdr:rowOff>119379</xdr:rowOff>
    </xdr:from>
    <xdr:to>
      <xdr:col>12</xdr:col>
      <xdr:colOff>63500</xdr:colOff>
      <xdr:row>171</xdr:row>
      <xdr:rowOff>182879</xdr:rowOff>
    </xdr:to>
    <xdr:sp macro="" textlink="">
      <xdr:nvSpPr>
        <xdr:cNvPr id="868" name="nuNumber: 897" hidden="1">
          <a:extLst>
            <a:ext uri="{FF2B5EF4-FFF2-40B4-BE49-F238E27FC236}">
              <a16:creationId xmlns:a16="http://schemas.microsoft.com/office/drawing/2014/main" id="{EC631B79-0214-46BB-8A64-83D0E5A71196}"/>
            </a:ext>
          </a:extLst>
        </xdr:cNvPr>
        <xdr:cNvSpPr/>
      </xdr:nvSpPr>
      <xdr:spPr bwMode="auto">
        <a:xfrm>
          <a:off x="8972550" y="361905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171</xdr:row>
      <xdr:rowOff>119379</xdr:rowOff>
    </xdr:from>
    <xdr:to>
      <xdr:col>13</xdr:col>
      <xdr:colOff>63500</xdr:colOff>
      <xdr:row>171</xdr:row>
      <xdr:rowOff>182879</xdr:rowOff>
    </xdr:to>
    <xdr:sp macro="" textlink="">
      <xdr:nvSpPr>
        <xdr:cNvPr id="869" name="nuNumber: 898" hidden="1">
          <a:extLst>
            <a:ext uri="{FF2B5EF4-FFF2-40B4-BE49-F238E27FC236}">
              <a16:creationId xmlns:a16="http://schemas.microsoft.com/office/drawing/2014/main" id="{5C5B08FD-3307-46C3-A999-860C012266C7}"/>
            </a:ext>
          </a:extLst>
        </xdr:cNvPr>
        <xdr:cNvSpPr/>
      </xdr:nvSpPr>
      <xdr:spPr bwMode="auto">
        <a:xfrm>
          <a:off x="9753600" y="361905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171</xdr:row>
      <xdr:rowOff>119379</xdr:rowOff>
    </xdr:from>
    <xdr:to>
      <xdr:col>14</xdr:col>
      <xdr:colOff>63500</xdr:colOff>
      <xdr:row>171</xdr:row>
      <xdr:rowOff>182879</xdr:rowOff>
    </xdr:to>
    <xdr:sp macro="" textlink="">
      <xdr:nvSpPr>
        <xdr:cNvPr id="870" name="nuNumber: 899" hidden="1">
          <a:extLst>
            <a:ext uri="{FF2B5EF4-FFF2-40B4-BE49-F238E27FC236}">
              <a16:creationId xmlns:a16="http://schemas.microsoft.com/office/drawing/2014/main" id="{8FDBB011-4348-4DD5-A4D7-CE98B9BA6437}"/>
            </a:ext>
          </a:extLst>
        </xdr:cNvPr>
        <xdr:cNvSpPr/>
      </xdr:nvSpPr>
      <xdr:spPr bwMode="auto">
        <a:xfrm>
          <a:off x="10515600" y="361905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171</xdr:row>
      <xdr:rowOff>119379</xdr:rowOff>
    </xdr:from>
    <xdr:to>
      <xdr:col>15</xdr:col>
      <xdr:colOff>63500</xdr:colOff>
      <xdr:row>171</xdr:row>
      <xdr:rowOff>182879</xdr:rowOff>
    </xdr:to>
    <xdr:sp macro="" textlink="">
      <xdr:nvSpPr>
        <xdr:cNvPr id="871" name="nuNumber: 900" hidden="1">
          <a:extLst>
            <a:ext uri="{FF2B5EF4-FFF2-40B4-BE49-F238E27FC236}">
              <a16:creationId xmlns:a16="http://schemas.microsoft.com/office/drawing/2014/main" id="{2B9B3589-B7EA-48EE-A313-A896BC7D4CA3}"/>
            </a:ext>
          </a:extLst>
        </xdr:cNvPr>
        <xdr:cNvSpPr/>
      </xdr:nvSpPr>
      <xdr:spPr bwMode="auto">
        <a:xfrm>
          <a:off x="11325225" y="361905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171</xdr:row>
      <xdr:rowOff>119379</xdr:rowOff>
    </xdr:from>
    <xdr:to>
      <xdr:col>16</xdr:col>
      <xdr:colOff>63500</xdr:colOff>
      <xdr:row>171</xdr:row>
      <xdr:rowOff>182879</xdr:rowOff>
    </xdr:to>
    <xdr:sp macro="" textlink="">
      <xdr:nvSpPr>
        <xdr:cNvPr id="872" name="nuNumber: 901" hidden="1">
          <a:extLst>
            <a:ext uri="{FF2B5EF4-FFF2-40B4-BE49-F238E27FC236}">
              <a16:creationId xmlns:a16="http://schemas.microsoft.com/office/drawing/2014/main" id="{514DB6E1-E57B-4A9E-84B5-4E2BA62A2018}"/>
            </a:ext>
          </a:extLst>
        </xdr:cNvPr>
        <xdr:cNvSpPr/>
      </xdr:nvSpPr>
      <xdr:spPr bwMode="auto">
        <a:xfrm>
          <a:off x="12106275" y="361905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171</xdr:row>
      <xdr:rowOff>119379</xdr:rowOff>
    </xdr:from>
    <xdr:to>
      <xdr:col>17</xdr:col>
      <xdr:colOff>63500</xdr:colOff>
      <xdr:row>171</xdr:row>
      <xdr:rowOff>182879</xdr:rowOff>
    </xdr:to>
    <xdr:sp macro="" textlink="">
      <xdr:nvSpPr>
        <xdr:cNvPr id="873" name="nuNumber: 902" hidden="1">
          <a:extLst>
            <a:ext uri="{FF2B5EF4-FFF2-40B4-BE49-F238E27FC236}">
              <a16:creationId xmlns:a16="http://schemas.microsoft.com/office/drawing/2014/main" id="{3EC29454-7F32-40DC-AA6D-962CC8589AB7}"/>
            </a:ext>
          </a:extLst>
        </xdr:cNvPr>
        <xdr:cNvSpPr/>
      </xdr:nvSpPr>
      <xdr:spPr bwMode="auto">
        <a:xfrm>
          <a:off x="12887325" y="361905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171</xdr:row>
      <xdr:rowOff>119379</xdr:rowOff>
    </xdr:from>
    <xdr:to>
      <xdr:col>18</xdr:col>
      <xdr:colOff>63499</xdr:colOff>
      <xdr:row>171</xdr:row>
      <xdr:rowOff>182879</xdr:rowOff>
    </xdr:to>
    <xdr:sp macro="" textlink="">
      <xdr:nvSpPr>
        <xdr:cNvPr id="874" name="nuNumber: 903" hidden="1">
          <a:extLst>
            <a:ext uri="{FF2B5EF4-FFF2-40B4-BE49-F238E27FC236}">
              <a16:creationId xmlns:a16="http://schemas.microsoft.com/office/drawing/2014/main" id="{5AFA43D3-0959-4F8E-AA03-90C962D42960}"/>
            </a:ext>
          </a:extLst>
        </xdr:cNvPr>
        <xdr:cNvSpPr/>
      </xdr:nvSpPr>
      <xdr:spPr bwMode="auto">
        <a:xfrm>
          <a:off x="13624559" y="36190554"/>
          <a:ext cx="5969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171</xdr:row>
      <xdr:rowOff>119379</xdr:rowOff>
    </xdr:from>
    <xdr:to>
      <xdr:col>19</xdr:col>
      <xdr:colOff>63500</xdr:colOff>
      <xdr:row>171</xdr:row>
      <xdr:rowOff>182879</xdr:rowOff>
    </xdr:to>
    <xdr:sp macro="" textlink="">
      <xdr:nvSpPr>
        <xdr:cNvPr id="875" name="nuNumber: 904" hidden="1">
          <a:extLst>
            <a:ext uri="{FF2B5EF4-FFF2-40B4-BE49-F238E27FC236}">
              <a16:creationId xmlns:a16="http://schemas.microsoft.com/office/drawing/2014/main" id="{CA59CFA7-83EC-4746-8BD4-CF72DED68E6C}"/>
            </a:ext>
          </a:extLst>
        </xdr:cNvPr>
        <xdr:cNvSpPr/>
      </xdr:nvSpPr>
      <xdr:spPr bwMode="auto">
        <a:xfrm>
          <a:off x="14382750" y="361905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172</xdr:row>
      <xdr:rowOff>119381</xdr:rowOff>
    </xdr:from>
    <xdr:to>
      <xdr:col>7</xdr:col>
      <xdr:colOff>63500</xdr:colOff>
      <xdr:row>173</xdr:row>
      <xdr:rowOff>1</xdr:rowOff>
    </xdr:to>
    <xdr:sp macro="" textlink="">
      <xdr:nvSpPr>
        <xdr:cNvPr id="876" name="nuNumber: 905" hidden="1">
          <a:extLst>
            <a:ext uri="{FF2B5EF4-FFF2-40B4-BE49-F238E27FC236}">
              <a16:creationId xmlns:a16="http://schemas.microsoft.com/office/drawing/2014/main" id="{02562E13-CFD9-4EFC-B7F8-A363E35F87D1}"/>
            </a:ext>
          </a:extLst>
        </xdr:cNvPr>
        <xdr:cNvSpPr/>
      </xdr:nvSpPr>
      <xdr:spPr bwMode="auto">
        <a:xfrm>
          <a:off x="4676775" y="36400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172</xdr:row>
      <xdr:rowOff>119381</xdr:rowOff>
    </xdr:from>
    <xdr:to>
      <xdr:col>9</xdr:col>
      <xdr:colOff>63500</xdr:colOff>
      <xdr:row>173</xdr:row>
      <xdr:rowOff>1</xdr:rowOff>
    </xdr:to>
    <xdr:sp macro="" textlink="">
      <xdr:nvSpPr>
        <xdr:cNvPr id="877" name="nuNumber: 906" hidden="1">
          <a:extLst>
            <a:ext uri="{FF2B5EF4-FFF2-40B4-BE49-F238E27FC236}">
              <a16:creationId xmlns:a16="http://schemas.microsoft.com/office/drawing/2014/main" id="{834231CA-3E87-4692-929A-127EBD064ECA}"/>
            </a:ext>
          </a:extLst>
        </xdr:cNvPr>
        <xdr:cNvSpPr/>
      </xdr:nvSpPr>
      <xdr:spPr bwMode="auto">
        <a:xfrm>
          <a:off x="6467475" y="36400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172</xdr:row>
      <xdr:rowOff>119381</xdr:rowOff>
    </xdr:from>
    <xdr:to>
      <xdr:col>11</xdr:col>
      <xdr:colOff>63500</xdr:colOff>
      <xdr:row>173</xdr:row>
      <xdr:rowOff>1</xdr:rowOff>
    </xdr:to>
    <xdr:sp macro="" textlink="">
      <xdr:nvSpPr>
        <xdr:cNvPr id="878" name="nuNumber: 907" hidden="1">
          <a:extLst>
            <a:ext uri="{FF2B5EF4-FFF2-40B4-BE49-F238E27FC236}">
              <a16:creationId xmlns:a16="http://schemas.microsoft.com/office/drawing/2014/main" id="{C588D1E4-88D3-48F1-A230-32CA902B53C5}"/>
            </a:ext>
          </a:extLst>
        </xdr:cNvPr>
        <xdr:cNvSpPr/>
      </xdr:nvSpPr>
      <xdr:spPr bwMode="auto">
        <a:xfrm>
          <a:off x="8105775" y="36400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172</xdr:row>
      <xdr:rowOff>119381</xdr:rowOff>
    </xdr:from>
    <xdr:to>
      <xdr:col>12</xdr:col>
      <xdr:colOff>63500</xdr:colOff>
      <xdr:row>173</xdr:row>
      <xdr:rowOff>1</xdr:rowOff>
    </xdr:to>
    <xdr:sp macro="" textlink="">
      <xdr:nvSpPr>
        <xdr:cNvPr id="879" name="nuNumber: 908" hidden="1">
          <a:extLst>
            <a:ext uri="{FF2B5EF4-FFF2-40B4-BE49-F238E27FC236}">
              <a16:creationId xmlns:a16="http://schemas.microsoft.com/office/drawing/2014/main" id="{74AC3730-E402-4384-ACB0-9E336EC8ED1E}"/>
            </a:ext>
          </a:extLst>
        </xdr:cNvPr>
        <xdr:cNvSpPr/>
      </xdr:nvSpPr>
      <xdr:spPr bwMode="auto">
        <a:xfrm>
          <a:off x="8972550" y="36400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172</xdr:row>
      <xdr:rowOff>119381</xdr:rowOff>
    </xdr:from>
    <xdr:to>
      <xdr:col>13</xdr:col>
      <xdr:colOff>63500</xdr:colOff>
      <xdr:row>173</xdr:row>
      <xdr:rowOff>1</xdr:rowOff>
    </xdr:to>
    <xdr:sp macro="" textlink="">
      <xdr:nvSpPr>
        <xdr:cNvPr id="880" name="nuNumber: 909" hidden="1">
          <a:extLst>
            <a:ext uri="{FF2B5EF4-FFF2-40B4-BE49-F238E27FC236}">
              <a16:creationId xmlns:a16="http://schemas.microsoft.com/office/drawing/2014/main" id="{77F8FD1A-A98B-4772-9347-904DBD2B0AA1}"/>
            </a:ext>
          </a:extLst>
        </xdr:cNvPr>
        <xdr:cNvSpPr/>
      </xdr:nvSpPr>
      <xdr:spPr bwMode="auto">
        <a:xfrm>
          <a:off x="9753600" y="36400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172</xdr:row>
      <xdr:rowOff>119381</xdr:rowOff>
    </xdr:from>
    <xdr:to>
      <xdr:col>14</xdr:col>
      <xdr:colOff>63500</xdr:colOff>
      <xdr:row>173</xdr:row>
      <xdr:rowOff>1</xdr:rowOff>
    </xdr:to>
    <xdr:sp macro="" textlink="">
      <xdr:nvSpPr>
        <xdr:cNvPr id="881" name="nuNumber: 910" hidden="1">
          <a:extLst>
            <a:ext uri="{FF2B5EF4-FFF2-40B4-BE49-F238E27FC236}">
              <a16:creationId xmlns:a16="http://schemas.microsoft.com/office/drawing/2014/main" id="{7498A3ED-B711-44F2-B2BF-133262F73C89}"/>
            </a:ext>
          </a:extLst>
        </xdr:cNvPr>
        <xdr:cNvSpPr/>
      </xdr:nvSpPr>
      <xdr:spPr bwMode="auto">
        <a:xfrm>
          <a:off x="10515600" y="36400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172</xdr:row>
      <xdr:rowOff>119381</xdr:rowOff>
    </xdr:from>
    <xdr:to>
      <xdr:col>15</xdr:col>
      <xdr:colOff>63500</xdr:colOff>
      <xdr:row>173</xdr:row>
      <xdr:rowOff>1</xdr:rowOff>
    </xdr:to>
    <xdr:sp macro="" textlink="">
      <xdr:nvSpPr>
        <xdr:cNvPr id="882" name="nuNumber: 911" hidden="1">
          <a:extLst>
            <a:ext uri="{FF2B5EF4-FFF2-40B4-BE49-F238E27FC236}">
              <a16:creationId xmlns:a16="http://schemas.microsoft.com/office/drawing/2014/main" id="{7563B07E-7617-4623-937D-77FCDC025543}"/>
            </a:ext>
          </a:extLst>
        </xdr:cNvPr>
        <xdr:cNvSpPr/>
      </xdr:nvSpPr>
      <xdr:spPr bwMode="auto">
        <a:xfrm>
          <a:off x="11325225" y="36400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172</xdr:row>
      <xdr:rowOff>119381</xdr:rowOff>
    </xdr:from>
    <xdr:to>
      <xdr:col>16</xdr:col>
      <xdr:colOff>63500</xdr:colOff>
      <xdr:row>173</xdr:row>
      <xdr:rowOff>1</xdr:rowOff>
    </xdr:to>
    <xdr:sp macro="" textlink="">
      <xdr:nvSpPr>
        <xdr:cNvPr id="883" name="nuNumber: 912" hidden="1">
          <a:extLst>
            <a:ext uri="{FF2B5EF4-FFF2-40B4-BE49-F238E27FC236}">
              <a16:creationId xmlns:a16="http://schemas.microsoft.com/office/drawing/2014/main" id="{A2E47610-A20A-40D6-B1B4-C66A9B6129A2}"/>
            </a:ext>
          </a:extLst>
        </xdr:cNvPr>
        <xdr:cNvSpPr/>
      </xdr:nvSpPr>
      <xdr:spPr bwMode="auto">
        <a:xfrm>
          <a:off x="12106275" y="36400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172</xdr:row>
      <xdr:rowOff>119381</xdr:rowOff>
    </xdr:from>
    <xdr:to>
      <xdr:col>17</xdr:col>
      <xdr:colOff>63500</xdr:colOff>
      <xdr:row>173</xdr:row>
      <xdr:rowOff>1</xdr:rowOff>
    </xdr:to>
    <xdr:sp macro="" textlink="">
      <xdr:nvSpPr>
        <xdr:cNvPr id="884" name="nuNumber: 913" hidden="1">
          <a:extLst>
            <a:ext uri="{FF2B5EF4-FFF2-40B4-BE49-F238E27FC236}">
              <a16:creationId xmlns:a16="http://schemas.microsoft.com/office/drawing/2014/main" id="{34F0FE00-02D2-460B-BF8E-E3EDD37C1C33}"/>
            </a:ext>
          </a:extLst>
        </xdr:cNvPr>
        <xdr:cNvSpPr/>
      </xdr:nvSpPr>
      <xdr:spPr bwMode="auto">
        <a:xfrm>
          <a:off x="12887325" y="36400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172</xdr:row>
      <xdr:rowOff>119381</xdr:rowOff>
    </xdr:from>
    <xdr:to>
      <xdr:col>18</xdr:col>
      <xdr:colOff>63499</xdr:colOff>
      <xdr:row>173</xdr:row>
      <xdr:rowOff>1</xdr:rowOff>
    </xdr:to>
    <xdr:sp macro="" textlink="">
      <xdr:nvSpPr>
        <xdr:cNvPr id="885" name="nuNumber: 914" hidden="1">
          <a:extLst>
            <a:ext uri="{FF2B5EF4-FFF2-40B4-BE49-F238E27FC236}">
              <a16:creationId xmlns:a16="http://schemas.microsoft.com/office/drawing/2014/main" id="{49B09A5E-F8D2-4DF5-8321-2859545CDE1B}"/>
            </a:ext>
          </a:extLst>
        </xdr:cNvPr>
        <xdr:cNvSpPr/>
      </xdr:nvSpPr>
      <xdr:spPr bwMode="auto">
        <a:xfrm>
          <a:off x="13624559" y="36400106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172</xdr:row>
      <xdr:rowOff>119381</xdr:rowOff>
    </xdr:from>
    <xdr:to>
      <xdr:col>19</xdr:col>
      <xdr:colOff>63500</xdr:colOff>
      <xdr:row>173</xdr:row>
      <xdr:rowOff>1</xdr:rowOff>
    </xdr:to>
    <xdr:sp macro="" textlink="">
      <xdr:nvSpPr>
        <xdr:cNvPr id="886" name="nuNumber: 915" hidden="1">
          <a:extLst>
            <a:ext uri="{FF2B5EF4-FFF2-40B4-BE49-F238E27FC236}">
              <a16:creationId xmlns:a16="http://schemas.microsoft.com/office/drawing/2014/main" id="{92E7DB1C-E97E-4003-9CBC-F19E4CBA183D}"/>
            </a:ext>
          </a:extLst>
        </xdr:cNvPr>
        <xdr:cNvSpPr/>
      </xdr:nvSpPr>
      <xdr:spPr bwMode="auto">
        <a:xfrm>
          <a:off x="14382750" y="36400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172</xdr:row>
      <xdr:rowOff>119381</xdr:rowOff>
    </xdr:from>
    <xdr:to>
      <xdr:col>20</xdr:col>
      <xdr:colOff>63500</xdr:colOff>
      <xdr:row>173</xdr:row>
      <xdr:rowOff>1</xdr:rowOff>
    </xdr:to>
    <xdr:sp macro="" textlink="">
      <xdr:nvSpPr>
        <xdr:cNvPr id="887" name="nuNumber: 916" hidden="1">
          <a:extLst>
            <a:ext uri="{FF2B5EF4-FFF2-40B4-BE49-F238E27FC236}">
              <a16:creationId xmlns:a16="http://schemas.microsoft.com/office/drawing/2014/main" id="{3B0A55A1-CE1B-4EBF-AE72-39A6A5CD763B}"/>
            </a:ext>
          </a:extLst>
        </xdr:cNvPr>
        <xdr:cNvSpPr/>
      </xdr:nvSpPr>
      <xdr:spPr bwMode="auto">
        <a:xfrm>
          <a:off x="15135225" y="36400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172</xdr:row>
      <xdr:rowOff>119381</xdr:rowOff>
    </xdr:from>
    <xdr:to>
      <xdr:col>21</xdr:col>
      <xdr:colOff>63500</xdr:colOff>
      <xdr:row>173</xdr:row>
      <xdr:rowOff>1</xdr:rowOff>
    </xdr:to>
    <xdr:sp macro="" textlink="">
      <xdr:nvSpPr>
        <xdr:cNvPr id="888" name="nuNumber: 917" hidden="1">
          <a:extLst>
            <a:ext uri="{FF2B5EF4-FFF2-40B4-BE49-F238E27FC236}">
              <a16:creationId xmlns:a16="http://schemas.microsoft.com/office/drawing/2014/main" id="{9B079E17-96FC-463E-BD6C-5B733F0F6555}"/>
            </a:ext>
          </a:extLst>
        </xdr:cNvPr>
        <xdr:cNvSpPr/>
      </xdr:nvSpPr>
      <xdr:spPr bwMode="auto">
        <a:xfrm>
          <a:off x="15849600" y="364001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209</xdr:row>
      <xdr:rowOff>119381</xdr:rowOff>
    </xdr:from>
    <xdr:to>
      <xdr:col>6</xdr:col>
      <xdr:colOff>63500</xdr:colOff>
      <xdr:row>210</xdr:row>
      <xdr:rowOff>1</xdr:rowOff>
    </xdr:to>
    <xdr:sp macro="" textlink="">
      <xdr:nvSpPr>
        <xdr:cNvPr id="889" name="nuNumber: 918" hidden="1">
          <a:extLst>
            <a:ext uri="{FF2B5EF4-FFF2-40B4-BE49-F238E27FC236}">
              <a16:creationId xmlns:a16="http://schemas.microsoft.com/office/drawing/2014/main" id="{7F45603E-20D0-4A4F-A341-4C1471312C4F}"/>
            </a:ext>
          </a:extLst>
        </xdr:cNvPr>
        <xdr:cNvSpPr/>
      </xdr:nvSpPr>
      <xdr:spPr bwMode="auto">
        <a:xfrm>
          <a:off x="3800475" y="448202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209</xdr:row>
      <xdr:rowOff>119381</xdr:rowOff>
    </xdr:from>
    <xdr:to>
      <xdr:col>7</xdr:col>
      <xdr:colOff>63500</xdr:colOff>
      <xdr:row>210</xdr:row>
      <xdr:rowOff>1</xdr:rowOff>
    </xdr:to>
    <xdr:sp macro="" textlink="">
      <xdr:nvSpPr>
        <xdr:cNvPr id="890" name="nuNumber: 919" hidden="1">
          <a:extLst>
            <a:ext uri="{FF2B5EF4-FFF2-40B4-BE49-F238E27FC236}">
              <a16:creationId xmlns:a16="http://schemas.microsoft.com/office/drawing/2014/main" id="{0D3A39D2-A8D9-4B85-977B-87735FD832D0}"/>
            </a:ext>
          </a:extLst>
        </xdr:cNvPr>
        <xdr:cNvSpPr/>
      </xdr:nvSpPr>
      <xdr:spPr bwMode="auto">
        <a:xfrm>
          <a:off x="4676775" y="448202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209</xdr:row>
      <xdr:rowOff>119381</xdr:rowOff>
    </xdr:from>
    <xdr:to>
      <xdr:col>8</xdr:col>
      <xdr:colOff>63500</xdr:colOff>
      <xdr:row>210</xdr:row>
      <xdr:rowOff>1</xdr:rowOff>
    </xdr:to>
    <xdr:sp macro="" textlink="">
      <xdr:nvSpPr>
        <xdr:cNvPr id="891" name="nuNumber: 920" hidden="1">
          <a:extLst>
            <a:ext uri="{FF2B5EF4-FFF2-40B4-BE49-F238E27FC236}">
              <a16:creationId xmlns:a16="http://schemas.microsoft.com/office/drawing/2014/main" id="{A12E3C6F-ED1C-4405-B5DB-BF53230662DE}"/>
            </a:ext>
          </a:extLst>
        </xdr:cNvPr>
        <xdr:cNvSpPr/>
      </xdr:nvSpPr>
      <xdr:spPr bwMode="auto">
        <a:xfrm>
          <a:off x="5562600" y="448202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209</xdr:row>
      <xdr:rowOff>119381</xdr:rowOff>
    </xdr:from>
    <xdr:to>
      <xdr:col>9</xdr:col>
      <xdr:colOff>63500</xdr:colOff>
      <xdr:row>210</xdr:row>
      <xdr:rowOff>1</xdr:rowOff>
    </xdr:to>
    <xdr:sp macro="" textlink="">
      <xdr:nvSpPr>
        <xdr:cNvPr id="892" name="nuNumber: 921" hidden="1">
          <a:extLst>
            <a:ext uri="{FF2B5EF4-FFF2-40B4-BE49-F238E27FC236}">
              <a16:creationId xmlns:a16="http://schemas.microsoft.com/office/drawing/2014/main" id="{49F8C452-8A80-4206-932A-BCD1EA6049E9}"/>
            </a:ext>
          </a:extLst>
        </xdr:cNvPr>
        <xdr:cNvSpPr/>
      </xdr:nvSpPr>
      <xdr:spPr bwMode="auto">
        <a:xfrm>
          <a:off x="6467475" y="448202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230</xdr:row>
      <xdr:rowOff>119379</xdr:rowOff>
    </xdr:from>
    <xdr:to>
      <xdr:col>8</xdr:col>
      <xdr:colOff>63500</xdr:colOff>
      <xdr:row>230</xdr:row>
      <xdr:rowOff>182879</xdr:rowOff>
    </xdr:to>
    <xdr:sp macro="" textlink="">
      <xdr:nvSpPr>
        <xdr:cNvPr id="893" name="nuNumber: 922" hidden="1">
          <a:extLst>
            <a:ext uri="{FF2B5EF4-FFF2-40B4-BE49-F238E27FC236}">
              <a16:creationId xmlns:a16="http://schemas.microsoft.com/office/drawing/2014/main" id="{2080F5C5-5AFF-4260-9570-C17230F49F96}"/>
            </a:ext>
          </a:extLst>
        </xdr:cNvPr>
        <xdr:cNvSpPr/>
      </xdr:nvSpPr>
      <xdr:spPr bwMode="auto">
        <a:xfrm>
          <a:off x="5562600" y="494684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230</xdr:row>
      <xdr:rowOff>119379</xdr:rowOff>
    </xdr:from>
    <xdr:to>
      <xdr:col>9</xdr:col>
      <xdr:colOff>63500</xdr:colOff>
      <xdr:row>230</xdr:row>
      <xdr:rowOff>182879</xdr:rowOff>
    </xdr:to>
    <xdr:sp macro="" textlink="">
      <xdr:nvSpPr>
        <xdr:cNvPr id="894" name="nuNumber: 923" hidden="1">
          <a:extLst>
            <a:ext uri="{FF2B5EF4-FFF2-40B4-BE49-F238E27FC236}">
              <a16:creationId xmlns:a16="http://schemas.microsoft.com/office/drawing/2014/main" id="{B8CD55A1-AFAF-4BB1-96A8-18B0EBBDA891}"/>
            </a:ext>
          </a:extLst>
        </xdr:cNvPr>
        <xdr:cNvSpPr/>
      </xdr:nvSpPr>
      <xdr:spPr bwMode="auto">
        <a:xfrm>
          <a:off x="6467475" y="494684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230</xdr:row>
      <xdr:rowOff>119379</xdr:rowOff>
    </xdr:from>
    <xdr:to>
      <xdr:col>10</xdr:col>
      <xdr:colOff>63500</xdr:colOff>
      <xdr:row>230</xdr:row>
      <xdr:rowOff>182879</xdr:rowOff>
    </xdr:to>
    <xdr:sp macro="" textlink="">
      <xdr:nvSpPr>
        <xdr:cNvPr id="895" name="nuNumber: 924" hidden="1">
          <a:extLst>
            <a:ext uri="{FF2B5EF4-FFF2-40B4-BE49-F238E27FC236}">
              <a16:creationId xmlns:a16="http://schemas.microsoft.com/office/drawing/2014/main" id="{C3C19B6B-CA76-460D-8579-17790F36A4D5}"/>
            </a:ext>
          </a:extLst>
        </xdr:cNvPr>
        <xdr:cNvSpPr/>
      </xdr:nvSpPr>
      <xdr:spPr bwMode="auto">
        <a:xfrm>
          <a:off x="7315200" y="494684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230</xdr:row>
      <xdr:rowOff>119379</xdr:rowOff>
    </xdr:from>
    <xdr:to>
      <xdr:col>11</xdr:col>
      <xdr:colOff>63500</xdr:colOff>
      <xdr:row>230</xdr:row>
      <xdr:rowOff>182879</xdr:rowOff>
    </xdr:to>
    <xdr:sp macro="" textlink="">
      <xdr:nvSpPr>
        <xdr:cNvPr id="896" name="nuNumber: 925" hidden="1">
          <a:extLst>
            <a:ext uri="{FF2B5EF4-FFF2-40B4-BE49-F238E27FC236}">
              <a16:creationId xmlns:a16="http://schemas.microsoft.com/office/drawing/2014/main" id="{173D9383-6871-4053-936E-855B1CC7E9C2}"/>
            </a:ext>
          </a:extLst>
        </xdr:cNvPr>
        <xdr:cNvSpPr/>
      </xdr:nvSpPr>
      <xdr:spPr bwMode="auto">
        <a:xfrm>
          <a:off x="8105775" y="494684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230</xdr:row>
      <xdr:rowOff>119379</xdr:rowOff>
    </xdr:from>
    <xdr:to>
      <xdr:col>12</xdr:col>
      <xdr:colOff>63500</xdr:colOff>
      <xdr:row>230</xdr:row>
      <xdr:rowOff>182879</xdr:rowOff>
    </xdr:to>
    <xdr:sp macro="" textlink="">
      <xdr:nvSpPr>
        <xdr:cNvPr id="897" name="nuNumber: 926" hidden="1">
          <a:extLst>
            <a:ext uri="{FF2B5EF4-FFF2-40B4-BE49-F238E27FC236}">
              <a16:creationId xmlns:a16="http://schemas.microsoft.com/office/drawing/2014/main" id="{3C8C11C4-CD4F-4C3C-AB43-39F7DA122EC6}"/>
            </a:ext>
          </a:extLst>
        </xdr:cNvPr>
        <xdr:cNvSpPr/>
      </xdr:nvSpPr>
      <xdr:spPr bwMode="auto">
        <a:xfrm>
          <a:off x="8972550" y="494684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230</xdr:row>
      <xdr:rowOff>119379</xdr:rowOff>
    </xdr:from>
    <xdr:to>
      <xdr:col>13</xdr:col>
      <xdr:colOff>63500</xdr:colOff>
      <xdr:row>230</xdr:row>
      <xdr:rowOff>182879</xdr:rowOff>
    </xdr:to>
    <xdr:sp macro="" textlink="">
      <xdr:nvSpPr>
        <xdr:cNvPr id="898" name="nuNumber: 927" hidden="1">
          <a:extLst>
            <a:ext uri="{FF2B5EF4-FFF2-40B4-BE49-F238E27FC236}">
              <a16:creationId xmlns:a16="http://schemas.microsoft.com/office/drawing/2014/main" id="{A6EECD72-B083-4B90-ADEB-BCC422AB5BB0}"/>
            </a:ext>
          </a:extLst>
        </xdr:cNvPr>
        <xdr:cNvSpPr/>
      </xdr:nvSpPr>
      <xdr:spPr bwMode="auto">
        <a:xfrm>
          <a:off x="9753600" y="494684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230</xdr:row>
      <xdr:rowOff>119379</xdr:rowOff>
    </xdr:from>
    <xdr:to>
      <xdr:col>14</xdr:col>
      <xdr:colOff>63500</xdr:colOff>
      <xdr:row>230</xdr:row>
      <xdr:rowOff>182879</xdr:rowOff>
    </xdr:to>
    <xdr:sp macro="" textlink="">
      <xdr:nvSpPr>
        <xdr:cNvPr id="899" name="nuNumber: 928" hidden="1">
          <a:extLst>
            <a:ext uri="{FF2B5EF4-FFF2-40B4-BE49-F238E27FC236}">
              <a16:creationId xmlns:a16="http://schemas.microsoft.com/office/drawing/2014/main" id="{68BF796E-0471-4B3F-957C-1D3D90BDF328}"/>
            </a:ext>
          </a:extLst>
        </xdr:cNvPr>
        <xdr:cNvSpPr/>
      </xdr:nvSpPr>
      <xdr:spPr bwMode="auto">
        <a:xfrm>
          <a:off x="10515600" y="494684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230</xdr:row>
      <xdr:rowOff>119379</xdr:rowOff>
    </xdr:from>
    <xdr:to>
      <xdr:col>15</xdr:col>
      <xdr:colOff>63500</xdr:colOff>
      <xdr:row>230</xdr:row>
      <xdr:rowOff>182879</xdr:rowOff>
    </xdr:to>
    <xdr:sp macro="" textlink="">
      <xdr:nvSpPr>
        <xdr:cNvPr id="900" name="nuNumber: 929" hidden="1">
          <a:extLst>
            <a:ext uri="{FF2B5EF4-FFF2-40B4-BE49-F238E27FC236}">
              <a16:creationId xmlns:a16="http://schemas.microsoft.com/office/drawing/2014/main" id="{5268AE5B-9C57-4E92-8415-E29A728AF559}"/>
            </a:ext>
          </a:extLst>
        </xdr:cNvPr>
        <xdr:cNvSpPr/>
      </xdr:nvSpPr>
      <xdr:spPr bwMode="auto">
        <a:xfrm>
          <a:off x="11325225" y="494684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230</xdr:row>
      <xdr:rowOff>119379</xdr:rowOff>
    </xdr:from>
    <xdr:to>
      <xdr:col>16</xdr:col>
      <xdr:colOff>63500</xdr:colOff>
      <xdr:row>230</xdr:row>
      <xdr:rowOff>182879</xdr:rowOff>
    </xdr:to>
    <xdr:sp macro="" textlink="">
      <xdr:nvSpPr>
        <xdr:cNvPr id="901" name="nuNumber: 930" hidden="1">
          <a:extLst>
            <a:ext uri="{FF2B5EF4-FFF2-40B4-BE49-F238E27FC236}">
              <a16:creationId xmlns:a16="http://schemas.microsoft.com/office/drawing/2014/main" id="{4D7A47B9-414F-40D4-99AB-BACCC6493208}"/>
            </a:ext>
          </a:extLst>
        </xdr:cNvPr>
        <xdr:cNvSpPr/>
      </xdr:nvSpPr>
      <xdr:spPr bwMode="auto">
        <a:xfrm>
          <a:off x="12106275" y="494684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230</xdr:row>
      <xdr:rowOff>119379</xdr:rowOff>
    </xdr:from>
    <xdr:to>
      <xdr:col>17</xdr:col>
      <xdr:colOff>63500</xdr:colOff>
      <xdr:row>230</xdr:row>
      <xdr:rowOff>182879</xdr:rowOff>
    </xdr:to>
    <xdr:sp macro="" textlink="">
      <xdr:nvSpPr>
        <xdr:cNvPr id="902" name="nuNumber: 931" hidden="1">
          <a:extLst>
            <a:ext uri="{FF2B5EF4-FFF2-40B4-BE49-F238E27FC236}">
              <a16:creationId xmlns:a16="http://schemas.microsoft.com/office/drawing/2014/main" id="{B19868AC-1667-4BB5-8B1A-CB6D674B8E95}"/>
            </a:ext>
          </a:extLst>
        </xdr:cNvPr>
        <xdr:cNvSpPr/>
      </xdr:nvSpPr>
      <xdr:spPr bwMode="auto">
        <a:xfrm>
          <a:off x="12887325" y="494684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230</xdr:row>
      <xdr:rowOff>119379</xdr:rowOff>
    </xdr:from>
    <xdr:to>
      <xdr:col>18</xdr:col>
      <xdr:colOff>63499</xdr:colOff>
      <xdr:row>230</xdr:row>
      <xdr:rowOff>182879</xdr:rowOff>
    </xdr:to>
    <xdr:sp macro="" textlink="">
      <xdr:nvSpPr>
        <xdr:cNvPr id="903" name="nuNumber: 932" hidden="1">
          <a:extLst>
            <a:ext uri="{FF2B5EF4-FFF2-40B4-BE49-F238E27FC236}">
              <a16:creationId xmlns:a16="http://schemas.microsoft.com/office/drawing/2014/main" id="{2F1FBF27-7758-4561-928C-52F20FCE22EE}"/>
            </a:ext>
          </a:extLst>
        </xdr:cNvPr>
        <xdr:cNvSpPr/>
      </xdr:nvSpPr>
      <xdr:spPr bwMode="auto">
        <a:xfrm>
          <a:off x="13624559" y="49468404"/>
          <a:ext cx="5969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230</xdr:row>
      <xdr:rowOff>119379</xdr:rowOff>
    </xdr:from>
    <xdr:to>
      <xdr:col>19</xdr:col>
      <xdr:colOff>63500</xdr:colOff>
      <xdr:row>230</xdr:row>
      <xdr:rowOff>182879</xdr:rowOff>
    </xdr:to>
    <xdr:sp macro="" textlink="">
      <xdr:nvSpPr>
        <xdr:cNvPr id="904" name="nuNumber: 933" hidden="1">
          <a:extLst>
            <a:ext uri="{FF2B5EF4-FFF2-40B4-BE49-F238E27FC236}">
              <a16:creationId xmlns:a16="http://schemas.microsoft.com/office/drawing/2014/main" id="{79BAB840-46E6-490E-B222-4067F9A83D25}"/>
            </a:ext>
          </a:extLst>
        </xdr:cNvPr>
        <xdr:cNvSpPr/>
      </xdr:nvSpPr>
      <xdr:spPr bwMode="auto">
        <a:xfrm>
          <a:off x="14382750" y="494684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230</xdr:row>
      <xdr:rowOff>119379</xdr:rowOff>
    </xdr:from>
    <xdr:to>
      <xdr:col>20</xdr:col>
      <xdr:colOff>63500</xdr:colOff>
      <xdr:row>230</xdr:row>
      <xdr:rowOff>182879</xdr:rowOff>
    </xdr:to>
    <xdr:sp macro="" textlink="">
      <xdr:nvSpPr>
        <xdr:cNvPr id="905" name="nuNumber: 934" hidden="1">
          <a:extLst>
            <a:ext uri="{FF2B5EF4-FFF2-40B4-BE49-F238E27FC236}">
              <a16:creationId xmlns:a16="http://schemas.microsoft.com/office/drawing/2014/main" id="{00111FEE-7C58-498E-97C1-4E6574244003}"/>
            </a:ext>
          </a:extLst>
        </xdr:cNvPr>
        <xdr:cNvSpPr/>
      </xdr:nvSpPr>
      <xdr:spPr bwMode="auto">
        <a:xfrm>
          <a:off x="15135225" y="494684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230</xdr:row>
      <xdr:rowOff>119379</xdr:rowOff>
    </xdr:from>
    <xdr:to>
      <xdr:col>21</xdr:col>
      <xdr:colOff>63500</xdr:colOff>
      <xdr:row>230</xdr:row>
      <xdr:rowOff>182879</xdr:rowOff>
    </xdr:to>
    <xdr:sp macro="" textlink="">
      <xdr:nvSpPr>
        <xdr:cNvPr id="906" name="nuNumber: 935" hidden="1">
          <a:extLst>
            <a:ext uri="{FF2B5EF4-FFF2-40B4-BE49-F238E27FC236}">
              <a16:creationId xmlns:a16="http://schemas.microsoft.com/office/drawing/2014/main" id="{99666D49-8ACD-4D30-A192-98B333BCC588}"/>
            </a:ext>
          </a:extLst>
        </xdr:cNvPr>
        <xdr:cNvSpPr/>
      </xdr:nvSpPr>
      <xdr:spPr bwMode="auto">
        <a:xfrm>
          <a:off x="15849600" y="494684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230</xdr:row>
      <xdr:rowOff>119379</xdr:rowOff>
    </xdr:from>
    <xdr:to>
      <xdr:col>30</xdr:col>
      <xdr:colOff>63499</xdr:colOff>
      <xdr:row>230</xdr:row>
      <xdr:rowOff>182879</xdr:rowOff>
    </xdr:to>
    <xdr:sp macro="" textlink="">
      <xdr:nvSpPr>
        <xdr:cNvPr id="907" name="nuNumber: 936" hidden="1">
          <a:extLst>
            <a:ext uri="{FF2B5EF4-FFF2-40B4-BE49-F238E27FC236}">
              <a16:creationId xmlns:a16="http://schemas.microsoft.com/office/drawing/2014/main" id="{189FD19C-826E-4BA9-841F-B231ABB3BABB}"/>
            </a:ext>
          </a:extLst>
        </xdr:cNvPr>
        <xdr:cNvSpPr/>
      </xdr:nvSpPr>
      <xdr:spPr bwMode="auto">
        <a:xfrm>
          <a:off x="22242779" y="49468404"/>
          <a:ext cx="61595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230</xdr:row>
      <xdr:rowOff>119379</xdr:rowOff>
    </xdr:from>
    <xdr:to>
      <xdr:col>31</xdr:col>
      <xdr:colOff>63500</xdr:colOff>
      <xdr:row>230</xdr:row>
      <xdr:rowOff>182879</xdr:rowOff>
    </xdr:to>
    <xdr:sp macro="" textlink="">
      <xdr:nvSpPr>
        <xdr:cNvPr id="908" name="nuNumber: 937" hidden="1">
          <a:extLst>
            <a:ext uri="{FF2B5EF4-FFF2-40B4-BE49-F238E27FC236}">
              <a16:creationId xmlns:a16="http://schemas.microsoft.com/office/drawing/2014/main" id="{19A60EE0-4F3C-415A-845E-D9F26E0D1A20}"/>
            </a:ext>
          </a:extLst>
        </xdr:cNvPr>
        <xdr:cNvSpPr/>
      </xdr:nvSpPr>
      <xdr:spPr bwMode="auto">
        <a:xfrm>
          <a:off x="23383875" y="4946840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231</xdr:row>
      <xdr:rowOff>119381</xdr:rowOff>
    </xdr:from>
    <xdr:to>
      <xdr:col>8</xdr:col>
      <xdr:colOff>63500</xdr:colOff>
      <xdr:row>232</xdr:row>
      <xdr:rowOff>1</xdr:rowOff>
    </xdr:to>
    <xdr:sp macro="" textlink="">
      <xdr:nvSpPr>
        <xdr:cNvPr id="909" name="nuNumber: 938" hidden="1">
          <a:extLst>
            <a:ext uri="{FF2B5EF4-FFF2-40B4-BE49-F238E27FC236}">
              <a16:creationId xmlns:a16="http://schemas.microsoft.com/office/drawing/2014/main" id="{28CCC3A2-A60E-4374-A64E-9F83D7A110D8}"/>
            </a:ext>
          </a:extLst>
        </xdr:cNvPr>
        <xdr:cNvSpPr/>
      </xdr:nvSpPr>
      <xdr:spPr bwMode="auto">
        <a:xfrm>
          <a:off x="5562600" y="49677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231</xdr:row>
      <xdr:rowOff>119381</xdr:rowOff>
    </xdr:from>
    <xdr:to>
      <xdr:col>9</xdr:col>
      <xdr:colOff>63500</xdr:colOff>
      <xdr:row>232</xdr:row>
      <xdr:rowOff>1</xdr:rowOff>
    </xdr:to>
    <xdr:sp macro="" textlink="">
      <xdr:nvSpPr>
        <xdr:cNvPr id="910" name="nuNumber: 939" hidden="1">
          <a:extLst>
            <a:ext uri="{FF2B5EF4-FFF2-40B4-BE49-F238E27FC236}">
              <a16:creationId xmlns:a16="http://schemas.microsoft.com/office/drawing/2014/main" id="{F1EC25D7-4AB6-4ADF-BDB4-AD6D08304AA0}"/>
            </a:ext>
          </a:extLst>
        </xdr:cNvPr>
        <xdr:cNvSpPr/>
      </xdr:nvSpPr>
      <xdr:spPr bwMode="auto">
        <a:xfrm>
          <a:off x="6467475" y="49677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231</xdr:row>
      <xdr:rowOff>119381</xdr:rowOff>
    </xdr:from>
    <xdr:to>
      <xdr:col>9</xdr:col>
      <xdr:colOff>63500</xdr:colOff>
      <xdr:row>232</xdr:row>
      <xdr:rowOff>1</xdr:rowOff>
    </xdr:to>
    <xdr:sp macro="" textlink="">
      <xdr:nvSpPr>
        <xdr:cNvPr id="911" name="nuNumber: 940" hidden="1">
          <a:extLst>
            <a:ext uri="{FF2B5EF4-FFF2-40B4-BE49-F238E27FC236}">
              <a16:creationId xmlns:a16="http://schemas.microsoft.com/office/drawing/2014/main" id="{834EFB5A-8B7B-434C-AD29-A35E45AB7FE2}"/>
            </a:ext>
          </a:extLst>
        </xdr:cNvPr>
        <xdr:cNvSpPr/>
      </xdr:nvSpPr>
      <xdr:spPr bwMode="auto">
        <a:xfrm>
          <a:off x="6467475" y="49677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231</xdr:row>
      <xdr:rowOff>119381</xdr:rowOff>
    </xdr:from>
    <xdr:to>
      <xdr:col>10</xdr:col>
      <xdr:colOff>63500</xdr:colOff>
      <xdr:row>232</xdr:row>
      <xdr:rowOff>1</xdr:rowOff>
    </xdr:to>
    <xdr:sp macro="" textlink="">
      <xdr:nvSpPr>
        <xdr:cNvPr id="912" name="nuNumber: 941" hidden="1">
          <a:extLst>
            <a:ext uri="{FF2B5EF4-FFF2-40B4-BE49-F238E27FC236}">
              <a16:creationId xmlns:a16="http://schemas.microsoft.com/office/drawing/2014/main" id="{96A6FFDE-2C71-4B44-B758-41BC5BF6EF84}"/>
            </a:ext>
          </a:extLst>
        </xdr:cNvPr>
        <xdr:cNvSpPr/>
      </xdr:nvSpPr>
      <xdr:spPr bwMode="auto">
        <a:xfrm>
          <a:off x="7315200" y="49677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231</xdr:row>
      <xdr:rowOff>119381</xdr:rowOff>
    </xdr:from>
    <xdr:to>
      <xdr:col>11</xdr:col>
      <xdr:colOff>63500</xdr:colOff>
      <xdr:row>232</xdr:row>
      <xdr:rowOff>1</xdr:rowOff>
    </xdr:to>
    <xdr:sp macro="" textlink="">
      <xdr:nvSpPr>
        <xdr:cNvPr id="913" name="nuNumber: 942" hidden="1">
          <a:extLst>
            <a:ext uri="{FF2B5EF4-FFF2-40B4-BE49-F238E27FC236}">
              <a16:creationId xmlns:a16="http://schemas.microsoft.com/office/drawing/2014/main" id="{F1216C95-5040-463B-93E6-F91A7A072697}"/>
            </a:ext>
          </a:extLst>
        </xdr:cNvPr>
        <xdr:cNvSpPr/>
      </xdr:nvSpPr>
      <xdr:spPr bwMode="auto">
        <a:xfrm>
          <a:off x="8105775" y="49677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231</xdr:row>
      <xdr:rowOff>119381</xdr:rowOff>
    </xdr:from>
    <xdr:to>
      <xdr:col>12</xdr:col>
      <xdr:colOff>63500</xdr:colOff>
      <xdr:row>232</xdr:row>
      <xdr:rowOff>1</xdr:rowOff>
    </xdr:to>
    <xdr:sp macro="" textlink="">
      <xdr:nvSpPr>
        <xdr:cNvPr id="914" name="nuNumber: 943" hidden="1">
          <a:extLst>
            <a:ext uri="{FF2B5EF4-FFF2-40B4-BE49-F238E27FC236}">
              <a16:creationId xmlns:a16="http://schemas.microsoft.com/office/drawing/2014/main" id="{22853CF7-A4C9-4EA0-AA07-48BFEB1105DA}"/>
            </a:ext>
          </a:extLst>
        </xdr:cNvPr>
        <xdr:cNvSpPr/>
      </xdr:nvSpPr>
      <xdr:spPr bwMode="auto">
        <a:xfrm>
          <a:off x="8972550" y="49677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231</xdr:row>
      <xdr:rowOff>119381</xdr:rowOff>
    </xdr:from>
    <xdr:to>
      <xdr:col>13</xdr:col>
      <xdr:colOff>63500</xdr:colOff>
      <xdr:row>232</xdr:row>
      <xdr:rowOff>1</xdr:rowOff>
    </xdr:to>
    <xdr:sp macro="" textlink="">
      <xdr:nvSpPr>
        <xdr:cNvPr id="915" name="nuNumber: 944" hidden="1">
          <a:extLst>
            <a:ext uri="{FF2B5EF4-FFF2-40B4-BE49-F238E27FC236}">
              <a16:creationId xmlns:a16="http://schemas.microsoft.com/office/drawing/2014/main" id="{D7C77F3C-B448-4ABB-A147-9F967347FCD9}"/>
            </a:ext>
          </a:extLst>
        </xdr:cNvPr>
        <xdr:cNvSpPr/>
      </xdr:nvSpPr>
      <xdr:spPr bwMode="auto">
        <a:xfrm>
          <a:off x="9753600" y="49677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231</xdr:row>
      <xdr:rowOff>119381</xdr:rowOff>
    </xdr:from>
    <xdr:to>
      <xdr:col>14</xdr:col>
      <xdr:colOff>63500</xdr:colOff>
      <xdr:row>232</xdr:row>
      <xdr:rowOff>1</xdr:rowOff>
    </xdr:to>
    <xdr:sp macro="" textlink="">
      <xdr:nvSpPr>
        <xdr:cNvPr id="916" name="nuNumber: 945" hidden="1">
          <a:extLst>
            <a:ext uri="{FF2B5EF4-FFF2-40B4-BE49-F238E27FC236}">
              <a16:creationId xmlns:a16="http://schemas.microsoft.com/office/drawing/2014/main" id="{D11FAB3E-CD9A-4DBD-9F51-3867860F673B}"/>
            </a:ext>
          </a:extLst>
        </xdr:cNvPr>
        <xdr:cNvSpPr/>
      </xdr:nvSpPr>
      <xdr:spPr bwMode="auto">
        <a:xfrm>
          <a:off x="10515600" y="49677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231</xdr:row>
      <xdr:rowOff>119381</xdr:rowOff>
    </xdr:from>
    <xdr:to>
      <xdr:col>15</xdr:col>
      <xdr:colOff>63500</xdr:colOff>
      <xdr:row>232</xdr:row>
      <xdr:rowOff>1</xdr:rowOff>
    </xdr:to>
    <xdr:sp macro="" textlink="">
      <xdr:nvSpPr>
        <xdr:cNvPr id="917" name="nuNumber: 946" hidden="1">
          <a:extLst>
            <a:ext uri="{FF2B5EF4-FFF2-40B4-BE49-F238E27FC236}">
              <a16:creationId xmlns:a16="http://schemas.microsoft.com/office/drawing/2014/main" id="{FE6AF579-49A1-4F8C-B9AA-A7D72A231BF7}"/>
            </a:ext>
          </a:extLst>
        </xdr:cNvPr>
        <xdr:cNvSpPr/>
      </xdr:nvSpPr>
      <xdr:spPr bwMode="auto">
        <a:xfrm>
          <a:off x="11325225" y="49677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231</xdr:row>
      <xdr:rowOff>119381</xdr:rowOff>
    </xdr:from>
    <xdr:to>
      <xdr:col>16</xdr:col>
      <xdr:colOff>63500</xdr:colOff>
      <xdr:row>232</xdr:row>
      <xdr:rowOff>1</xdr:rowOff>
    </xdr:to>
    <xdr:sp macro="" textlink="">
      <xdr:nvSpPr>
        <xdr:cNvPr id="918" name="nuNumber: 947" hidden="1">
          <a:extLst>
            <a:ext uri="{FF2B5EF4-FFF2-40B4-BE49-F238E27FC236}">
              <a16:creationId xmlns:a16="http://schemas.microsoft.com/office/drawing/2014/main" id="{21CF7521-C9CA-49A7-8009-358769840E2C}"/>
            </a:ext>
          </a:extLst>
        </xdr:cNvPr>
        <xdr:cNvSpPr/>
      </xdr:nvSpPr>
      <xdr:spPr bwMode="auto">
        <a:xfrm>
          <a:off x="12106275" y="49677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231</xdr:row>
      <xdr:rowOff>119381</xdr:rowOff>
    </xdr:from>
    <xdr:to>
      <xdr:col>17</xdr:col>
      <xdr:colOff>63500</xdr:colOff>
      <xdr:row>232</xdr:row>
      <xdr:rowOff>1</xdr:rowOff>
    </xdr:to>
    <xdr:sp macro="" textlink="">
      <xdr:nvSpPr>
        <xdr:cNvPr id="919" name="nuNumber: 948" hidden="1">
          <a:extLst>
            <a:ext uri="{FF2B5EF4-FFF2-40B4-BE49-F238E27FC236}">
              <a16:creationId xmlns:a16="http://schemas.microsoft.com/office/drawing/2014/main" id="{7612FED0-6CF6-479B-9A35-9BC3454A6117}"/>
            </a:ext>
          </a:extLst>
        </xdr:cNvPr>
        <xdr:cNvSpPr/>
      </xdr:nvSpPr>
      <xdr:spPr bwMode="auto">
        <a:xfrm>
          <a:off x="12887325" y="49677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231</xdr:row>
      <xdr:rowOff>119381</xdr:rowOff>
    </xdr:from>
    <xdr:to>
      <xdr:col>18</xdr:col>
      <xdr:colOff>63499</xdr:colOff>
      <xdr:row>232</xdr:row>
      <xdr:rowOff>1</xdr:rowOff>
    </xdr:to>
    <xdr:sp macro="" textlink="">
      <xdr:nvSpPr>
        <xdr:cNvPr id="920" name="nuNumber: 949" hidden="1">
          <a:extLst>
            <a:ext uri="{FF2B5EF4-FFF2-40B4-BE49-F238E27FC236}">
              <a16:creationId xmlns:a16="http://schemas.microsoft.com/office/drawing/2014/main" id="{0EC9A12E-3E9A-4BE9-BE2E-6B1DEBAF482C}"/>
            </a:ext>
          </a:extLst>
        </xdr:cNvPr>
        <xdr:cNvSpPr/>
      </xdr:nvSpPr>
      <xdr:spPr bwMode="auto">
        <a:xfrm>
          <a:off x="13624559" y="49677956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231</xdr:row>
      <xdr:rowOff>119381</xdr:rowOff>
    </xdr:from>
    <xdr:to>
      <xdr:col>19</xdr:col>
      <xdr:colOff>63500</xdr:colOff>
      <xdr:row>232</xdr:row>
      <xdr:rowOff>1</xdr:rowOff>
    </xdr:to>
    <xdr:sp macro="" textlink="">
      <xdr:nvSpPr>
        <xdr:cNvPr id="921" name="nuNumber: 950" hidden="1">
          <a:extLst>
            <a:ext uri="{FF2B5EF4-FFF2-40B4-BE49-F238E27FC236}">
              <a16:creationId xmlns:a16="http://schemas.microsoft.com/office/drawing/2014/main" id="{4E57DBF1-7A5F-497E-B254-BCD63FAF76DD}"/>
            </a:ext>
          </a:extLst>
        </xdr:cNvPr>
        <xdr:cNvSpPr/>
      </xdr:nvSpPr>
      <xdr:spPr bwMode="auto">
        <a:xfrm>
          <a:off x="14382750" y="49677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231</xdr:row>
      <xdr:rowOff>119381</xdr:rowOff>
    </xdr:from>
    <xdr:to>
      <xdr:col>20</xdr:col>
      <xdr:colOff>63500</xdr:colOff>
      <xdr:row>232</xdr:row>
      <xdr:rowOff>1</xdr:rowOff>
    </xdr:to>
    <xdr:sp macro="" textlink="">
      <xdr:nvSpPr>
        <xdr:cNvPr id="922" name="nuNumber: 951" hidden="1">
          <a:extLst>
            <a:ext uri="{FF2B5EF4-FFF2-40B4-BE49-F238E27FC236}">
              <a16:creationId xmlns:a16="http://schemas.microsoft.com/office/drawing/2014/main" id="{ED86138B-82CD-4876-ADBD-D7876248B6E6}"/>
            </a:ext>
          </a:extLst>
        </xdr:cNvPr>
        <xdr:cNvSpPr/>
      </xdr:nvSpPr>
      <xdr:spPr bwMode="auto">
        <a:xfrm>
          <a:off x="15135225" y="49677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231</xdr:row>
      <xdr:rowOff>119381</xdr:rowOff>
    </xdr:from>
    <xdr:to>
      <xdr:col>21</xdr:col>
      <xdr:colOff>63500</xdr:colOff>
      <xdr:row>232</xdr:row>
      <xdr:rowOff>1</xdr:rowOff>
    </xdr:to>
    <xdr:sp macro="" textlink="">
      <xdr:nvSpPr>
        <xdr:cNvPr id="923" name="nuNumber: 952" hidden="1">
          <a:extLst>
            <a:ext uri="{FF2B5EF4-FFF2-40B4-BE49-F238E27FC236}">
              <a16:creationId xmlns:a16="http://schemas.microsoft.com/office/drawing/2014/main" id="{C4953DF0-0E34-4E77-A484-73E61B63F44F}"/>
            </a:ext>
          </a:extLst>
        </xdr:cNvPr>
        <xdr:cNvSpPr/>
      </xdr:nvSpPr>
      <xdr:spPr bwMode="auto">
        <a:xfrm>
          <a:off x="15849600" y="49677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231</xdr:row>
      <xdr:rowOff>119381</xdr:rowOff>
    </xdr:from>
    <xdr:to>
      <xdr:col>30</xdr:col>
      <xdr:colOff>63499</xdr:colOff>
      <xdr:row>232</xdr:row>
      <xdr:rowOff>1</xdr:rowOff>
    </xdr:to>
    <xdr:sp macro="" textlink="">
      <xdr:nvSpPr>
        <xdr:cNvPr id="924" name="nuNumber: 953" hidden="1">
          <a:extLst>
            <a:ext uri="{FF2B5EF4-FFF2-40B4-BE49-F238E27FC236}">
              <a16:creationId xmlns:a16="http://schemas.microsoft.com/office/drawing/2014/main" id="{A8621D26-0658-4D7E-AB6A-3A282CD7ECC6}"/>
            </a:ext>
          </a:extLst>
        </xdr:cNvPr>
        <xdr:cNvSpPr/>
      </xdr:nvSpPr>
      <xdr:spPr bwMode="auto">
        <a:xfrm>
          <a:off x="22242779" y="49677956"/>
          <a:ext cx="61595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231</xdr:row>
      <xdr:rowOff>119381</xdr:rowOff>
    </xdr:from>
    <xdr:to>
      <xdr:col>31</xdr:col>
      <xdr:colOff>63500</xdr:colOff>
      <xdr:row>232</xdr:row>
      <xdr:rowOff>1</xdr:rowOff>
    </xdr:to>
    <xdr:sp macro="" textlink="">
      <xdr:nvSpPr>
        <xdr:cNvPr id="925" name="nuNumber: 954" hidden="1">
          <a:extLst>
            <a:ext uri="{FF2B5EF4-FFF2-40B4-BE49-F238E27FC236}">
              <a16:creationId xmlns:a16="http://schemas.microsoft.com/office/drawing/2014/main" id="{67B85E82-D07F-49E0-A67B-84A7ACB864F6}"/>
            </a:ext>
          </a:extLst>
        </xdr:cNvPr>
        <xdr:cNvSpPr/>
      </xdr:nvSpPr>
      <xdr:spPr bwMode="auto">
        <a:xfrm>
          <a:off x="23383875" y="496779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232</xdr:row>
      <xdr:rowOff>119380</xdr:rowOff>
    </xdr:from>
    <xdr:to>
      <xdr:col>5</xdr:col>
      <xdr:colOff>63500</xdr:colOff>
      <xdr:row>233</xdr:row>
      <xdr:rowOff>0</xdr:rowOff>
    </xdr:to>
    <xdr:sp macro="" textlink="">
      <xdr:nvSpPr>
        <xdr:cNvPr id="926" name="nuNumber: 955" hidden="1">
          <a:extLst>
            <a:ext uri="{FF2B5EF4-FFF2-40B4-BE49-F238E27FC236}">
              <a16:creationId xmlns:a16="http://schemas.microsoft.com/office/drawing/2014/main" id="{86CFE2FA-CEA2-4AC3-8D24-8CB749E3E832}"/>
            </a:ext>
          </a:extLst>
        </xdr:cNvPr>
        <xdr:cNvSpPr/>
      </xdr:nvSpPr>
      <xdr:spPr bwMode="auto">
        <a:xfrm>
          <a:off x="2914650" y="498875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232</xdr:row>
      <xdr:rowOff>119380</xdr:rowOff>
    </xdr:from>
    <xdr:to>
      <xdr:col>6</xdr:col>
      <xdr:colOff>63500</xdr:colOff>
      <xdr:row>233</xdr:row>
      <xdr:rowOff>0</xdr:rowOff>
    </xdr:to>
    <xdr:sp macro="" textlink="">
      <xdr:nvSpPr>
        <xdr:cNvPr id="927" name="nuNumber: 956" hidden="1">
          <a:extLst>
            <a:ext uri="{FF2B5EF4-FFF2-40B4-BE49-F238E27FC236}">
              <a16:creationId xmlns:a16="http://schemas.microsoft.com/office/drawing/2014/main" id="{F6846C0F-9FA6-40BD-AA1C-EC5C2EFE2078}"/>
            </a:ext>
          </a:extLst>
        </xdr:cNvPr>
        <xdr:cNvSpPr/>
      </xdr:nvSpPr>
      <xdr:spPr bwMode="auto">
        <a:xfrm>
          <a:off x="3800475" y="498875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232</xdr:row>
      <xdr:rowOff>119380</xdr:rowOff>
    </xdr:from>
    <xdr:to>
      <xdr:col>7</xdr:col>
      <xdr:colOff>63500</xdr:colOff>
      <xdr:row>233</xdr:row>
      <xdr:rowOff>0</xdr:rowOff>
    </xdr:to>
    <xdr:sp macro="" textlink="">
      <xdr:nvSpPr>
        <xdr:cNvPr id="928" name="nuNumber: 957" hidden="1">
          <a:extLst>
            <a:ext uri="{FF2B5EF4-FFF2-40B4-BE49-F238E27FC236}">
              <a16:creationId xmlns:a16="http://schemas.microsoft.com/office/drawing/2014/main" id="{3E55DF4E-0E5E-4F47-8032-CF245D69AEE3}"/>
            </a:ext>
          </a:extLst>
        </xdr:cNvPr>
        <xdr:cNvSpPr/>
      </xdr:nvSpPr>
      <xdr:spPr bwMode="auto">
        <a:xfrm>
          <a:off x="4676775" y="498875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232</xdr:row>
      <xdr:rowOff>119380</xdr:rowOff>
    </xdr:from>
    <xdr:to>
      <xdr:col>8</xdr:col>
      <xdr:colOff>63500</xdr:colOff>
      <xdr:row>233</xdr:row>
      <xdr:rowOff>0</xdr:rowOff>
    </xdr:to>
    <xdr:sp macro="" textlink="">
      <xdr:nvSpPr>
        <xdr:cNvPr id="929" name="nuNumber: 958" hidden="1">
          <a:extLst>
            <a:ext uri="{FF2B5EF4-FFF2-40B4-BE49-F238E27FC236}">
              <a16:creationId xmlns:a16="http://schemas.microsoft.com/office/drawing/2014/main" id="{7D7BE39C-9604-4857-A574-15976BA5A6B5}"/>
            </a:ext>
          </a:extLst>
        </xdr:cNvPr>
        <xdr:cNvSpPr/>
      </xdr:nvSpPr>
      <xdr:spPr bwMode="auto">
        <a:xfrm>
          <a:off x="5562600" y="498875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232</xdr:row>
      <xdr:rowOff>119380</xdr:rowOff>
    </xdr:from>
    <xdr:to>
      <xdr:col>9</xdr:col>
      <xdr:colOff>63500</xdr:colOff>
      <xdr:row>233</xdr:row>
      <xdr:rowOff>0</xdr:rowOff>
    </xdr:to>
    <xdr:sp macro="" textlink="">
      <xdr:nvSpPr>
        <xdr:cNvPr id="930" name="nuNumber: 959" hidden="1">
          <a:extLst>
            <a:ext uri="{FF2B5EF4-FFF2-40B4-BE49-F238E27FC236}">
              <a16:creationId xmlns:a16="http://schemas.microsoft.com/office/drawing/2014/main" id="{F51B3C78-2424-4BB9-8416-5A82E484FF1E}"/>
            </a:ext>
          </a:extLst>
        </xdr:cNvPr>
        <xdr:cNvSpPr/>
      </xdr:nvSpPr>
      <xdr:spPr bwMode="auto">
        <a:xfrm>
          <a:off x="6467475" y="498875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232</xdr:row>
      <xdr:rowOff>119380</xdr:rowOff>
    </xdr:from>
    <xdr:to>
      <xdr:col>9</xdr:col>
      <xdr:colOff>63500</xdr:colOff>
      <xdr:row>233</xdr:row>
      <xdr:rowOff>0</xdr:rowOff>
    </xdr:to>
    <xdr:sp macro="" textlink="">
      <xdr:nvSpPr>
        <xdr:cNvPr id="931" name="nuNumber: 960" hidden="1">
          <a:extLst>
            <a:ext uri="{FF2B5EF4-FFF2-40B4-BE49-F238E27FC236}">
              <a16:creationId xmlns:a16="http://schemas.microsoft.com/office/drawing/2014/main" id="{6905737A-6B7C-4B78-9E42-AC4AC39D51D2}"/>
            </a:ext>
          </a:extLst>
        </xdr:cNvPr>
        <xdr:cNvSpPr/>
      </xdr:nvSpPr>
      <xdr:spPr bwMode="auto">
        <a:xfrm>
          <a:off x="6467475" y="498875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232</xdr:row>
      <xdr:rowOff>119380</xdr:rowOff>
    </xdr:from>
    <xdr:to>
      <xdr:col>10</xdr:col>
      <xdr:colOff>63500</xdr:colOff>
      <xdr:row>233</xdr:row>
      <xdr:rowOff>0</xdr:rowOff>
    </xdr:to>
    <xdr:sp macro="" textlink="">
      <xdr:nvSpPr>
        <xdr:cNvPr id="932" name="nuNumber: 961" hidden="1">
          <a:extLst>
            <a:ext uri="{FF2B5EF4-FFF2-40B4-BE49-F238E27FC236}">
              <a16:creationId xmlns:a16="http://schemas.microsoft.com/office/drawing/2014/main" id="{E626BB75-CC3A-46F2-A379-EF24C77E48FD}"/>
            </a:ext>
          </a:extLst>
        </xdr:cNvPr>
        <xdr:cNvSpPr/>
      </xdr:nvSpPr>
      <xdr:spPr bwMode="auto">
        <a:xfrm>
          <a:off x="7315200" y="498875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232</xdr:row>
      <xdr:rowOff>119380</xdr:rowOff>
    </xdr:from>
    <xdr:to>
      <xdr:col>11</xdr:col>
      <xdr:colOff>63500</xdr:colOff>
      <xdr:row>233</xdr:row>
      <xdr:rowOff>0</xdr:rowOff>
    </xdr:to>
    <xdr:sp macro="" textlink="">
      <xdr:nvSpPr>
        <xdr:cNvPr id="933" name="nuNumber: 962" hidden="1">
          <a:extLst>
            <a:ext uri="{FF2B5EF4-FFF2-40B4-BE49-F238E27FC236}">
              <a16:creationId xmlns:a16="http://schemas.microsoft.com/office/drawing/2014/main" id="{198163BB-0F91-4048-9F1A-C7CAAE81AA3D}"/>
            </a:ext>
          </a:extLst>
        </xdr:cNvPr>
        <xdr:cNvSpPr/>
      </xdr:nvSpPr>
      <xdr:spPr bwMode="auto">
        <a:xfrm>
          <a:off x="8105775" y="498875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232</xdr:row>
      <xdr:rowOff>119380</xdr:rowOff>
    </xdr:from>
    <xdr:to>
      <xdr:col>12</xdr:col>
      <xdr:colOff>63500</xdr:colOff>
      <xdr:row>233</xdr:row>
      <xdr:rowOff>0</xdr:rowOff>
    </xdr:to>
    <xdr:sp macro="" textlink="">
      <xdr:nvSpPr>
        <xdr:cNvPr id="934" name="nuNumber: 963" hidden="1">
          <a:extLst>
            <a:ext uri="{FF2B5EF4-FFF2-40B4-BE49-F238E27FC236}">
              <a16:creationId xmlns:a16="http://schemas.microsoft.com/office/drawing/2014/main" id="{4F9954D3-DCC3-450C-9984-922FC49EF965}"/>
            </a:ext>
          </a:extLst>
        </xdr:cNvPr>
        <xdr:cNvSpPr/>
      </xdr:nvSpPr>
      <xdr:spPr bwMode="auto">
        <a:xfrm>
          <a:off x="8972550" y="498875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232</xdr:row>
      <xdr:rowOff>119380</xdr:rowOff>
    </xdr:from>
    <xdr:to>
      <xdr:col>13</xdr:col>
      <xdr:colOff>63500</xdr:colOff>
      <xdr:row>233</xdr:row>
      <xdr:rowOff>0</xdr:rowOff>
    </xdr:to>
    <xdr:sp macro="" textlink="">
      <xdr:nvSpPr>
        <xdr:cNvPr id="935" name="nuNumber: 964" hidden="1">
          <a:extLst>
            <a:ext uri="{FF2B5EF4-FFF2-40B4-BE49-F238E27FC236}">
              <a16:creationId xmlns:a16="http://schemas.microsoft.com/office/drawing/2014/main" id="{E5BB9358-AFDE-4A5B-AEFA-C3F28BFC3AE7}"/>
            </a:ext>
          </a:extLst>
        </xdr:cNvPr>
        <xdr:cNvSpPr/>
      </xdr:nvSpPr>
      <xdr:spPr bwMode="auto">
        <a:xfrm>
          <a:off x="9753600" y="498875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232</xdr:row>
      <xdr:rowOff>119380</xdr:rowOff>
    </xdr:from>
    <xdr:to>
      <xdr:col>14</xdr:col>
      <xdr:colOff>63500</xdr:colOff>
      <xdr:row>233</xdr:row>
      <xdr:rowOff>0</xdr:rowOff>
    </xdr:to>
    <xdr:sp macro="" textlink="">
      <xdr:nvSpPr>
        <xdr:cNvPr id="936" name="nuNumber: 965" hidden="1">
          <a:extLst>
            <a:ext uri="{FF2B5EF4-FFF2-40B4-BE49-F238E27FC236}">
              <a16:creationId xmlns:a16="http://schemas.microsoft.com/office/drawing/2014/main" id="{57065D1A-BBD0-4873-BBD8-FC593BFA7192}"/>
            </a:ext>
          </a:extLst>
        </xdr:cNvPr>
        <xdr:cNvSpPr/>
      </xdr:nvSpPr>
      <xdr:spPr bwMode="auto">
        <a:xfrm>
          <a:off x="10515600" y="498875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232</xdr:row>
      <xdr:rowOff>119380</xdr:rowOff>
    </xdr:from>
    <xdr:to>
      <xdr:col>15</xdr:col>
      <xdr:colOff>63500</xdr:colOff>
      <xdr:row>233</xdr:row>
      <xdr:rowOff>0</xdr:rowOff>
    </xdr:to>
    <xdr:sp macro="" textlink="">
      <xdr:nvSpPr>
        <xdr:cNvPr id="937" name="nuNumber: 966" hidden="1">
          <a:extLst>
            <a:ext uri="{FF2B5EF4-FFF2-40B4-BE49-F238E27FC236}">
              <a16:creationId xmlns:a16="http://schemas.microsoft.com/office/drawing/2014/main" id="{E0331235-164F-43F9-BB01-A948D4E9B0D2}"/>
            </a:ext>
          </a:extLst>
        </xdr:cNvPr>
        <xdr:cNvSpPr/>
      </xdr:nvSpPr>
      <xdr:spPr bwMode="auto">
        <a:xfrm>
          <a:off x="11325225" y="498875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232</xdr:row>
      <xdr:rowOff>119380</xdr:rowOff>
    </xdr:from>
    <xdr:to>
      <xdr:col>16</xdr:col>
      <xdr:colOff>63500</xdr:colOff>
      <xdr:row>233</xdr:row>
      <xdr:rowOff>0</xdr:rowOff>
    </xdr:to>
    <xdr:sp macro="" textlink="">
      <xdr:nvSpPr>
        <xdr:cNvPr id="938" name="nuNumber: 967" hidden="1">
          <a:extLst>
            <a:ext uri="{FF2B5EF4-FFF2-40B4-BE49-F238E27FC236}">
              <a16:creationId xmlns:a16="http://schemas.microsoft.com/office/drawing/2014/main" id="{E4944190-D277-4093-97B3-4BB69AAD0F3B}"/>
            </a:ext>
          </a:extLst>
        </xdr:cNvPr>
        <xdr:cNvSpPr/>
      </xdr:nvSpPr>
      <xdr:spPr bwMode="auto">
        <a:xfrm>
          <a:off x="12106275" y="498875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232</xdr:row>
      <xdr:rowOff>119380</xdr:rowOff>
    </xdr:from>
    <xdr:to>
      <xdr:col>17</xdr:col>
      <xdr:colOff>63500</xdr:colOff>
      <xdr:row>233</xdr:row>
      <xdr:rowOff>0</xdr:rowOff>
    </xdr:to>
    <xdr:sp macro="" textlink="">
      <xdr:nvSpPr>
        <xdr:cNvPr id="939" name="nuNumber: 968" hidden="1">
          <a:extLst>
            <a:ext uri="{FF2B5EF4-FFF2-40B4-BE49-F238E27FC236}">
              <a16:creationId xmlns:a16="http://schemas.microsoft.com/office/drawing/2014/main" id="{AD1564E8-519B-4748-90BD-C7FE2599B327}"/>
            </a:ext>
          </a:extLst>
        </xdr:cNvPr>
        <xdr:cNvSpPr/>
      </xdr:nvSpPr>
      <xdr:spPr bwMode="auto">
        <a:xfrm>
          <a:off x="12887325" y="498875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232</xdr:row>
      <xdr:rowOff>119380</xdr:rowOff>
    </xdr:from>
    <xdr:to>
      <xdr:col>18</xdr:col>
      <xdr:colOff>63499</xdr:colOff>
      <xdr:row>233</xdr:row>
      <xdr:rowOff>0</xdr:rowOff>
    </xdr:to>
    <xdr:sp macro="" textlink="">
      <xdr:nvSpPr>
        <xdr:cNvPr id="940" name="nuNumber: 969" hidden="1">
          <a:extLst>
            <a:ext uri="{FF2B5EF4-FFF2-40B4-BE49-F238E27FC236}">
              <a16:creationId xmlns:a16="http://schemas.microsoft.com/office/drawing/2014/main" id="{7AEAE935-101A-4440-81DD-B8331DBECBFB}"/>
            </a:ext>
          </a:extLst>
        </xdr:cNvPr>
        <xdr:cNvSpPr/>
      </xdr:nvSpPr>
      <xdr:spPr bwMode="auto">
        <a:xfrm>
          <a:off x="13624559" y="49887505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232</xdr:row>
      <xdr:rowOff>119380</xdr:rowOff>
    </xdr:from>
    <xdr:to>
      <xdr:col>19</xdr:col>
      <xdr:colOff>63500</xdr:colOff>
      <xdr:row>233</xdr:row>
      <xdr:rowOff>0</xdr:rowOff>
    </xdr:to>
    <xdr:sp macro="" textlink="">
      <xdr:nvSpPr>
        <xdr:cNvPr id="941" name="nuNumber: 970" hidden="1">
          <a:extLst>
            <a:ext uri="{FF2B5EF4-FFF2-40B4-BE49-F238E27FC236}">
              <a16:creationId xmlns:a16="http://schemas.microsoft.com/office/drawing/2014/main" id="{BFDE3AB9-4440-41AA-A3B7-01374F83DC3E}"/>
            </a:ext>
          </a:extLst>
        </xdr:cNvPr>
        <xdr:cNvSpPr/>
      </xdr:nvSpPr>
      <xdr:spPr bwMode="auto">
        <a:xfrm>
          <a:off x="14382750" y="498875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232</xdr:row>
      <xdr:rowOff>119380</xdr:rowOff>
    </xdr:from>
    <xdr:to>
      <xdr:col>20</xdr:col>
      <xdr:colOff>63500</xdr:colOff>
      <xdr:row>233</xdr:row>
      <xdr:rowOff>0</xdr:rowOff>
    </xdr:to>
    <xdr:sp macro="" textlink="">
      <xdr:nvSpPr>
        <xdr:cNvPr id="942" name="nuNumber: 971" hidden="1">
          <a:extLst>
            <a:ext uri="{FF2B5EF4-FFF2-40B4-BE49-F238E27FC236}">
              <a16:creationId xmlns:a16="http://schemas.microsoft.com/office/drawing/2014/main" id="{69787E75-DADB-4848-8057-505FE6715733}"/>
            </a:ext>
          </a:extLst>
        </xdr:cNvPr>
        <xdr:cNvSpPr/>
      </xdr:nvSpPr>
      <xdr:spPr bwMode="auto">
        <a:xfrm>
          <a:off x="15135225" y="498875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232</xdr:row>
      <xdr:rowOff>119380</xdr:rowOff>
    </xdr:from>
    <xdr:to>
      <xdr:col>21</xdr:col>
      <xdr:colOff>63500</xdr:colOff>
      <xdr:row>233</xdr:row>
      <xdr:rowOff>0</xdr:rowOff>
    </xdr:to>
    <xdr:sp macro="" textlink="">
      <xdr:nvSpPr>
        <xdr:cNvPr id="943" name="nuNumber: 972" hidden="1">
          <a:extLst>
            <a:ext uri="{FF2B5EF4-FFF2-40B4-BE49-F238E27FC236}">
              <a16:creationId xmlns:a16="http://schemas.microsoft.com/office/drawing/2014/main" id="{10296EF6-763A-4CCE-95A1-37F275B6B9C8}"/>
            </a:ext>
          </a:extLst>
        </xdr:cNvPr>
        <xdr:cNvSpPr/>
      </xdr:nvSpPr>
      <xdr:spPr bwMode="auto">
        <a:xfrm>
          <a:off x="15849600" y="498875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232</xdr:row>
      <xdr:rowOff>119380</xdr:rowOff>
    </xdr:from>
    <xdr:to>
      <xdr:col>30</xdr:col>
      <xdr:colOff>63499</xdr:colOff>
      <xdr:row>233</xdr:row>
      <xdr:rowOff>0</xdr:rowOff>
    </xdr:to>
    <xdr:sp macro="" textlink="">
      <xdr:nvSpPr>
        <xdr:cNvPr id="944" name="nuNumber: 973" hidden="1">
          <a:extLst>
            <a:ext uri="{FF2B5EF4-FFF2-40B4-BE49-F238E27FC236}">
              <a16:creationId xmlns:a16="http://schemas.microsoft.com/office/drawing/2014/main" id="{9BA01A12-3F44-444C-8290-95CCA03906D3}"/>
            </a:ext>
          </a:extLst>
        </xdr:cNvPr>
        <xdr:cNvSpPr/>
      </xdr:nvSpPr>
      <xdr:spPr bwMode="auto">
        <a:xfrm>
          <a:off x="22242779" y="49887505"/>
          <a:ext cx="61595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232</xdr:row>
      <xdr:rowOff>119380</xdr:rowOff>
    </xdr:from>
    <xdr:to>
      <xdr:col>31</xdr:col>
      <xdr:colOff>63500</xdr:colOff>
      <xdr:row>233</xdr:row>
      <xdr:rowOff>0</xdr:rowOff>
    </xdr:to>
    <xdr:sp macro="" textlink="">
      <xdr:nvSpPr>
        <xdr:cNvPr id="945" name="nuNumber: 974" hidden="1">
          <a:extLst>
            <a:ext uri="{FF2B5EF4-FFF2-40B4-BE49-F238E27FC236}">
              <a16:creationId xmlns:a16="http://schemas.microsoft.com/office/drawing/2014/main" id="{EE038525-2A5A-4FFE-BFDD-F4E7ABB00CFE}"/>
            </a:ext>
          </a:extLst>
        </xdr:cNvPr>
        <xdr:cNvSpPr/>
      </xdr:nvSpPr>
      <xdr:spPr bwMode="auto">
        <a:xfrm>
          <a:off x="23383875" y="498875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233</xdr:row>
      <xdr:rowOff>119379</xdr:rowOff>
    </xdr:from>
    <xdr:to>
      <xdr:col>30</xdr:col>
      <xdr:colOff>63499</xdr:colOff>
      <xdr:row>233</xdr:row>
      <xdr:rowOff>182879</xdr:rowOff>
    </xdr:to>
    <xdr:sp macro="" textlink="">
      <xdr:nvSpPr>
        <xdr:cNvPr id="946" name="nuNumber: 975" hidden="1">
          <a:extLst>
            <a:ext uri="{FF2B5EF4-FFF2-40B4-BE49-F238E27FC236}">
              <a16:creationId xmlns:a16="http://schemas.microsoft.com/office/drawing/2014/main" id="{F25A1B44-F004-4FEC-A83D-88957066DEB3}"/>
            </a:ext>
          </a:extLst>
        </xdr:cNvPr>
        <xdr:cNvSpPr/>
      </xdr:nvSpPr>
      <xdr:spPr bwMode="auto">
        <a:xfrm>
          <a:off x="22242779" y="50097054"/>
          <a:ext cx="61595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233</xdr:row>
      <xdr:rowOff>119379</xdr:rowOff>
    </xdr:from>
    <xdr:to>
      <xdr:col>31</xdr:col>
      <xdr:colOff>63500</xdr:colOff>
      <xdr:row>233</xdr:row>
      <xdr:rowOff>182879</xdr:rowOff>
    </xdr:to>
    <xdr:sp macro="" textlink="">
      <xdr:nvSpPr>
        <xdr:cNvPr id="947" name="nuNumber: 976" hidden="1">
          <a:extLst>
            <a:ext uri="{FF2B5EF4-FFF2-40B4-BE49-F238E27FC236}">
              <a16:creationId xmlns:a16="http://schemas.microsoft.com/office/drawing/2014/main" id="{D136CE45-5D03-4861-9FF2-43D57EB72902}"/>
            </a:ext>
          </a:extLst>
        </xdr:cNvPr>
        <xdr:cNvSpPr/>
      </xdr:nvSpPr>
      <xdr:spPr bwMode="auto">
        <a:xfrm>
          <a:off x="23383875" y="500970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234</xdr:row>
      <xdr:rowOff>119381</xdr:rowOff>
    </xdr:from>
    <xdr:to>
      <xdr:col>30</xdr:col>
      <xdr:colOff>63499</xdr:colOff>
      <xdr:row>235</xdr:row>
      <xdr:rowOff>1</xdr:rowOff>
    </xdr:to>
    <xdr:sp macro="" textlink="">
      <xdr:nvSpPr>
        <xdr:cNvPr id="948" name="nuNumber: 977" hidden="1">
          <a:extLst>
            <a:ext uri="{FF2B5EF4-FFF2-40B4-BE49-F238E27FC236}">
              <a16:creationId xmlns:a16="http://schemas.microsoft.com/office/drawing/2014/main" id="{CFB1BF45-2FA2-447E-A229-8912527F54D8}"/>
            </a:ext>
          </a:extLst>
        </xdr:cNvPr>
        <xdr:cNvSpPr/>
      </xdr:nvSpPr>
      <xdr:spPr bwMode="auto">
        <a:xfrm>
          <a:off x="22242779" y="50306606"/>
          <a:ext cx="61595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234</xdr:row>
      <xdr:rowOff>119381</xdr:rowOff>
    </xdr:from>
    <xdr:to>
      <xdr:col>31</xdr:col>
      <xdr:colOff>63500</xdr:colOff>
      <xdr:row>235</xdr:row>
      <xdr:rowOff>1</xdr:rowOff>
    </xdr:to>
    <xdr:sp macro="" textlink="">
      <xdr:nvSpPr>
        <xdr:cNvPr id="949" name="nuNumber: 978" hidden="1">
          <a:extLst>
            <a:ext uri="{FF2B5EF4-FFF2-40B4-BE49-F238E27FC236}">
              <a16:creationId xmlns:a16="http://schemas.microsoft.com/office/drawing/2014/main" id="{0D64CD00-E332-40F3-8E96-ACEB5E3393EF}"/>
            </a:ext>
          </a:extLst>
        </xdr:cNvPr>
        <xdr:cNvSpPr/>
      </xdr:nvSpPr>
      <xdr:spPr bwMode="auto">
        <a:xfrm>
          <a:off x="23383875" y="503066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235</xdr:row>
      <xdr:rowOff>119379</xdr:rowOff>
    </xdr:from>
    <xdr:to>
      <xdr:col>30</xdr:col>
      <xdr:colOff>63499</xdr:colOff>
      <xdr:row>235</xdr:row>
      <xdr:rowOff>182879</xdr:rowOff>
    </xdr:to>
    <xdr:sp macro="" textlink="">
      <xdr:nvSpPr>
        <xdr:cNvPr id="950" name="nuNumber: 979" hidden="1">
          <a:extLst>
            <a:ext uri="{FF2B5EF4-FFF2-40B4-BE49-F238E27FC236}">
              <a16:creationId xmlns:a16="http://schemas.microsoft.com/office/drawing/2014/main" id="{35BF6F85-05A3-4FBA-9A7E-2346036E71FA}"/>
            </a:ext>
          </a:extLst>
        </xdr:cNvPr>
        <xdr:cNvSpPr/>
      </xdr:nvSpPr>
      <xdr:spPr bwMode="auto">
        <a:xfrm>
          <a:off x="22242779" y="50516154"/>
          <a:ext cx="61595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235</xdr:row>
      <xdr:rowOff>119379</xdr:rowOff>
    </xdr:from>
    <xdr:to>
      <xdr:col>31</xdr:col>
      <xdr:colOff>63500</xdr:colOff>
      <xdr:row>235</xdr:row>
      <xdr:rowOff>182879</xdr:rowOff>
    </xdr:to>
    <xdr:sp macro="" textlink="">
      <xdr:nvSpPr>
        <xdr:cNvPr id="951" name="nuNumber: 980" hidden="1">
          <a:extLst>
            <a:ext uri="{FF2B5EF4-FFF2-40B4-BE49-F238E27FC236}">
              <a16:creationId xmlns:a16="http://schemas.microsoft.com/office/drawing/2014/main" id="{59C7489E-FF6A-4B55-B3F7-3BAF105CEA6D}"/>
            </a:ext>
          </a:extLst>
        </xdr:cNvPr>
        <xdr:cNvSpPr/>
      </xdr:nvSpPr>
      <xdr:spPr bwMode="auto">
        <a:xfrm>
          <a:off x="23383875" y="50516154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239</xdr:row>
      <xdr:rowOff>119379</xdr:rowOff>
    </xdr:from>
    <xdr:to>
      <xdr:col>30</xdr:col>
      <xdr:colOff>63499</xdr:colOff>
      <xdr:row>239</xdr:row>
      <xdr:rowOff>182879</xdr:rowOff>
    </xdr:to>
    <xdr:sp macro="" textlink="">
      <xdr:nvSpPr>
        <xdr:cNvPr id="952" name="nuNumber: 981" hidden="1">
          <a:extLst>
            <a:ext uri="{FF2B5EF4-FFF2-40B4-BE49-F238E27FC236}">
              <a16:creationId xmlns:a16="http://schemas.microsoft.com/office/drawing/2014/main" id="{70041FB3-ABE1-4EB8-95E6-913E225275EE}"/>
            </a:ext>
          </a:extLst>
        </xdr:cNvPr>
        <xdr:cNvSpPr/>
      </xdr:nvSpPr>
      <xdr:spPr bwMode="auto">
        <a:xfrm>
          <a:off x="22242779" y="51287679"/>
          <a:ext cx="61595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239</xdr:row>
      <xdr:rowOff>119379</xdr:rowOff>
    </xdr:from>
    <xdr:to>
      <xdr:col>31</xdr:col>
      <xdr:colOff>63500</xdr:colOff>
      <xdr:row>239</xdr:row>
      <xdr:rowOff>182879</xdr:rowOff>
    </xdr:to>
    <xdr:sp macro="" textlink="">
      <xdr:nvSpPr>
        <xdr:cNvPr id="953" name="nuNumber: 982" hidden="1">
          <a:extLst>
            <a:ext uri="{FF2B5EF4-FFF2-40B4-BE49-F238E27FC236}">
              <a16:creationId xmlns:a16="http://schemas.microsoft.com/office/drawing/2014/main" id="{476D7E72-7C8A-4536-A8FE-DE991F0C815D}"/>
            </a:ext>
          </a:extLst>
        </xdr:cNvPr>
        <xdr:cNvSpPr/>
      </xdr:nvSpPr>
      <xdr:spPr bwMode="auto">
        <a:xfrm>
          <a:off x="23383875" y="512876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240</xdr:row>
      <xdr:rowOff>119381</xdr:rowOff>
    </xdr:from>
    <xdr:to>
      <xdr:col>30</xdr:col>
      <xdr:colOff>63499</xdr:colOff>
      <xdr:row>241</xdr:row>
      <xdr:rowOff>1</xdr:rowOff>
    </xdr:to>
    <xdr:sp macro="" textlink="">
      <xdr:nvSpPr>
        <xdr:cNvPr id="954" name="nuNumber: 983" hidden="1">
          <a:extLst>
            <a:ext uri="{FF2B5EF4-FFF2-40B4-BE49-F238E27FC236}">
              <a16:creationId xmlns:a16="http://schemas.microsoft.com/office/drawing/2014/main" id="{3D84BC6C-F925-42AC-8B73-002C820A5E70}"/>
            </a:ext>
          </a:extLst>
        </xdr:cNvPr>
        <xdr:cNvSpPr/>
      </xdr:nvSpPr>
      <xdr:spPr bwMode="auto">
        <a:xfrm>
          <a:off x="22242779" y="51497231"/>
          <a:ext cx="61595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240</xdr:row>
      <xdr:rowOff>119381</xdr:rowOff>
    </xdr:from>
    <xdr:to>
      <xdr:col>31</xdr:col>
      <xdr:colOff>63500</xdr:colOff>
      <xdr:row>241</xdr:row>
      <xdr:rowOff>1</xdr:rowOff>
    </xdr:to>
    <xdr:sp macro="" textlink="">
      <xdr:nvSpPr>
        <xdr:cNvPr id="955" name="nuNumber: 984" hidden="1">
          <a:extLst>
            <a:ext uri="{FF2B5EF4-FFF2-40B4-BE49-F238E27FC236}">
              <a16:creationId xmlns:a16="http://schemas.microsoft.com/office/drawing/2014/main" id="{C5C82E1D-36B0-4007-B527-F65F71C85F6F}"/>
            </a:ext>
          </a:extLst>
        </xdr:cNvPr>
        <xdr:cNvSpPr/>
      </xdr:nvSpPr>
      <xdr:spPr bwMode="auto">
        <a:xfrm>
          <a:off x="23383875" y="5149723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241</xdr:row>
      <xdr:rowOff>119380</xdr:rowOff>
    </xdr:from>
    <xdr:to>
      <xdr:col>30</xdr:col>
      <xdr:colOff>63499</xdr:colOff>
      <xdr:row>242</xdr:row>
      <xdr:rowOff>0</xdr:rowOff>
    </xdr:to>
    <xdr:sp macro="" textlink="">
      <xdr:nvSpPr>
        <xdr:cNvPr id="956" name="nuNumber: 985" hidden="1">
          <a:extLst>
            <a:ext uri="{FF2B5EF4-FFF2-40B4-BE49-F238E27FC236}">
              <a16:creationId xmlns:a16="http://schemas.microsoft.com/office/drawing/2014/main" id="{7ACFD543-7695-40B6-96D1-6A1D5013DD73}"/>
            </a:ext>
          </a:extLst>
        </xdr:cNvPr>
        <xdr:cNvSpPr/>
      </xdr:nvSpPr>
      <xdr:spPr bwMode="auto">
        <a:xfrm>
          <a:off x="22242779" y="51706780"/>
          <a:ext cx="61595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241</xdr:row>
      <xdr:rowOff>119380</xdr:rowOff>
    </xdr:from>
    <xdr:to>
      <xdr:col>31</xdr:col>
      <xdr:colOff>63500</xdr:colOff>
      <xdr:row>242</xdr:row>
      <xdr:rowOff>0</xdr:rowOff>
    </xdr:to>
    <xdr:sp macro="" textlink="">
      <xdr:nvSpPr>
        <xdr:cNvPr id="957" name="nuNumber: 986" hidden="1">
          <a:extLst>
            <a:ext uri="{FF2B5EF4-FFF2-40B4-BE49-F238E27FC236}">
              <a16:creationId xmlns:a16="http://schemas.microsoft.com/office/drawing/2014/main" id="{E21DC13A-59A4-40A3-AE86-4FCD6F971E02}"/>
            </a:ext>
          </a:extLst>
        </xdr:cNvPr>
        <xdr:cNvSpPr/>
      </xdr:nvSpPr>
      <xdr:spPr bwMode="auto">
        <a:xfrm>
          <a:off x="23383875" y="517067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245</xdr:row>
      <xdr:rowOff>119379</xdr:rowOff>
    </xdr:from>
    <xdr:to>
      <xdr:col>30</xdr:col>
      <xdr:colOff>63499</xdr:colOff>
      <xdr:row>245</xdr:row>
      <xdr:rowOff>182879</xdr:rowOff>
    </xdr:to>
    <xdr:sp macro="" textlink="">
      <xdr:nvSpPr>
        <xdr:cNvPr id="958" name="nuNumber: 987" hidden="1">
          <a:extLst>
            <a:ext uri="{FF2B5EF4-FFF2-40B4-BE49-F238E27FC236}">
              <a16:creationId xmlns:a16="http://schemas.microsoft.com/office/drawing/2014/main" id="{04682819-EC94-42C9-ABFA-39671D692D6B}"/>
            </a:ext>
          </a:extLst>
        </xdr:cNvPr>
        <xdr:cNvSpPr/>
      </xdr:nvSpPr>
      <xdr:spPr bwMode="auto">
        <a:xfrm>
          <a:off x="22242779" y="52468779"/>
          <a:ext cx="61595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245</xdr:row>
      <xdr:rowOff>119379</xdr:rowOff>
    </xdr:from>
    <xdr:to>
      <xdr:col>31</xdr:col>
      <xdr:colOff>63500</xdr:colOff>
      <xdr:row>245</xdr:row>
      <xdr:rowOff>182879</xdr:rowOff>
    </xdr:to>
    <xdr:sp macro="" textlink="">
      <xdr:nvSpPr>
        <xdr:cNvPr id="959" name="nuNumber: 988" hidden="1">
          <a:extLst>
            <a:ext uri="{FF2B5EF4-FFF2-40B4-BE49-F238E27FC236}">
              <a16:creationId xmlns:a16="http://schemas.microsoft.com/office/drawing/2014/main" id="{D50BAD29-5592-4CC0-9976-DD603AA8267E}"/>
            </a:ext>
          </a:extLst>
        </xdr:cNvPr>
        <xdr:cNvSpPr/>
      </xdr:nvSpPr>
      <xdr:spPr bwMode="auto">
        <a:xfrm>
          <a:off x="23383875" y="524687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246</xdr:row>
      <xdr:rowOff>119381</xdr:rowOff>
    </xdr:from>
    <xdr:to>
      <xdr:col>30</xdr:col>
      <xdr:colOff>63499</xdr:colOff>
      <xdr:row>247</xdr:row>
      <xdr:rowOff>1</xdr:rowOff>
    </xdr:to>
    <xdr:sp macro="" textlink="">
      <xdr:nvSpPr>
        <xdr:cNvPr id="960" name="nuNumber: 989" hidden="1">
          <a:extLst>
            <a:ext uri="{FF2B5EF4-FFF2-40B4-BE49-F238E27FC236}">
              <a16:creationId xmlns:a16="http://schemas.microsoft.com/office/drawing/2014/main" id="{0F48BF7C-7266-4252-8110-263266C1193E}"/>
            </a:ext>
          </a:extLst>
        </xdr:cNvPr>
        <xdr:cNvSpPr/>
      </xdr:nvSpPr>
      <xdr:spPr bwMode="auto">
        <a:xfrm>
          <a:off x="22242779" y="52678331"/>
          <a:ext cx="61595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246</xdr:row>
      <xdr:rowOff>119381</xdr:rowOff>
    </xdr:from>
    <xdr:to>
      <xdr:col>31</xdr:col>
      <xdr:colOff>63500</xdr:colOff>
      <xdr:row>247</xdr:row>
      <xdr:rowOff>1</xdr:rowOff>
    </xdr:to>
    <xdr:sp macro="" textlink="">
      <xdr:nvSpPr>
        <xdr:cNvPr id="961" name="nuNumber: 990" hidden="1">
          <a:extLst>
            <a:ext uri="{FF2B5EF4-FFF2-40B4-BE49-F238E27FC236}">
              <a16:creationId xmlns:a16="http://schemas.microsoft.com/office/drawing/2014/main" id="{A69A7FF4-B24D-4D57-8859-A45391533211}"/>
            </a:ext>
          </a:extLst>
        </xdr:cNvPr>
        <xdr:cNvSpPr/>
      </xdr:nvSpPr>
      <xdr:spPr bwMode="auto">
        <a:xfrm>
          <a:off x="23383875" y="5267833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251</xdr:row>
      <xdr:rowOff>119379</xdr:rowOff>
    </xdr:from>
    <xdr:to>
      <xdr:col>30</xdr:col>
      <xdr:colOff>63499</xdr:colOff>
      <xdr:row>251</xdr:row>
      <xdr:rowOff>182879</xdr:rowOff>
    </xdr:to>
    <xdr:sp macro="" textlink="">
      <xdr:nvSpPr>
        <xdr:cNvPr id="962" name="nuNumber: 991" hidden="1">
          <a:extLst>
            <a:ext uri="{FF2B5EF4-FFF2-40B4-BE49-F238E27FC236}">
              <a16:creationId xmlns:a16="http://schemas.microsoft.com/office/drawing/2014/main" id="{96512532-4A7B-415D-95C3-729345723527}"/>
            </a:ext>
          </a:extLst>
        </xdr:cNvPr>
        <xdr:cNvSpPr/>
      </xdr:nvSpPr>
      <xdr:spPr bwMode="auto">
        <a:xfrm>
          <a:off x="22242779" y="53611779"/>
          <a:ext cx="61595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251</xdr:row>
      <xdr:rowOff>119379</xdr:rowOff>
    </xdr:from>
    <xdr:to>
      <xdr:col>31</xdr:col>
      <xdr:colOff>63500</xdr:colOff>
      <xdr:row>251</xdr:row>
      <xdr:rowOff>182879</xdr:rowOff>
    </xdr:to>
    <xdr:sp macro="" textlink="">
      <xdr:nvSpPr>
        <xdr:cNvPr id="963" name="nuNumber: 992" hidden="1">
          <a:extLst>
            <a:ext uri="{FF2B5EF4-FFF2-40B4-BE49-F238E27FC236}">
              <a16:creationId xmlns:a16="http://schemas.microsoft.com/office/drawing/2014/main" id="{F2363D67-7C3A-4627-8113-B4DF34D33718}"/>
            </a:ext>
          </a:extLst>
        </xdr:cNvPr>
        <xdr:cNvSpPr/>
      </xdr:nvSpPr>
      <xdr:spPr bwMode="auto">
        <a:xfrm>
          <a:off x="23383875" y="536117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255</xdr:row>
      <xdr:rowOff>119381</xdr:rowOff>
    </xdr:from>
    <xdr:to>
      <xdr:col>30</xdr:col>
      <xdr:colOff>63499</xdr:colOff>
      <xdr:row>256</xdr:row>
      <xdr:rowOff>1</xdr:rowOff>
    </xdr:to>
    <xdr:sp macro="" textlink="">
      <xdr:nvSpPr>
        <xdr:cNvPr id="964" name="nuNumber: 993" hidden="1">
          <a:extLst>
            <a:ext uri="{FF2B5EF4-FFF2-40B4-BE49-F238E27FC236}">
              <a16:creationId xmlns:a16="http://schemas.microsoft.com/office/drawing/2014/main" id="{A0E54FFE-477E-446B-AB5E-87C12D531AF7}"/>
            </a:ext>
          </a:extLst>
        </xdr:cNvPr>
        <xdr:cNvSpPr/>
      </xdr:nvSpPr>
      <xdr:spPr bwMode="auto">
        <a:xfrm>
          <a:off x="22242779" y="54411881"/>
          <a:ext cx="61595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255</xdr:row>
      <xdr:rowOff>119381</xdr:rowOff>
    </xdr:from>
    <xdr:to>
      <xdr:col>31</xdr:col>
      <xdr:colOff>63500</xdr:colOff>
      <xdr:row>256</xdr:row>
      <xdr:rowOff>1</xdr:rowOff>
    </xdr:to>
    <xdr:sp macro="" textlink="">
      <xdr:nvSpPr>
        <xdr:cNvPr id="965" name="nuNumber: 994" hidden="1">
          <a:extLst>
            <a:ext uri="{FF2B5EF4-FFF2-40B4-BE49-F238E27FC236}">
              <a16:creationId xmlns:a16="http://schemas.microsoft.com/office/drawing/2014/main" id="{B7D71D1F-5B2E-4994-9F67-59EB9EB9766D}"/>
            </a:ext>
          </a:extLst>
        </xdr:cNvPr>
        <xdr:cNvSpPr/>
      </xdr:nvSpPr>
      <xdr:spPr bwMode="auto">
        <a:xfrm>
          <a:off x="23383875" y="544118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256</xdr:row>
      <xdr:rowOff>119379</xdr:rowOff>
    </xdr:from>
    <xdr:to>
      <xdr:col>31</xdr:col>
      <xdr:colOff>63500</xdr:colOff>
      <xdr:row>256</xdr:row>
      <xdr:rowOff>182879</xdr:rowOff>
    </xdr:to>
    <xdr:sp macro="" textlink="">
      <xdr:nvSpPr>
        <xdr:cNvPr id="966" name="nuNumber: 995" hidden="1">
          <a:extLst>
            <a:ext uri="{FF2B5EF4-FFF2-40B4-BE49-F238E27FC236}">
              <a16:creationId xmlns:a16="http://schemas.microsoft.com/office/drawing/2014/main" id="{4F7E2352-D33C-44A8-9AA1-554ADA525AD3}"/>
            </a:ext>
          </a:extLst>
        </xdr:cNvPr>
        <xdr:cNvSpPr/>
      </xdr:nvSpPr>
      <xdr:spPr bwMode="auto">
        <a:xfrm>
          <a:off x="23383875" y="5462142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257</xdr:row>
      <xdr:rowOff>119381</xdr:rowOff>
    </xdr:from>
    <xdr:to>
      <xdr:col>30</xdr:col>
      <xdr:colOff>63499</xdr:colOff>
      <xdr:row>258</xdr:row>
      <xdr:rowOff>1</xdr:rowOff>
    </xdr:to>
    <xdr:sp macro="" textlink="">
      <xdr:nvSpPr>
        <xdr:cNvPr id="967" name="nuNumber: 996" hidden="1">
          <a:extLst>
            <a:ext uri="{FF2B5EF4-FFF2-40B4-BE49-F238E27FC236}">
              <a16:creationId xmlns:a16="http://schemas.microsoft.com/office/drawing/2014/main" id="{4F4B8305-545B-48AE-8155-38CA8F64D0E9}"/>
            </a:ext>
          </a:extLst>
        </xdr:cNvPr>
        <xdr:cNvSpPr/>
      </xdr:nvSpPr>
      <xdr:spPr bwMode="auto">
        <a:xfrm>
          <a:off x="22242779" y="54830981"/>
          <a:ext cx="61595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257</xdr:row>
      <xdr:rowOff>119381</xdr:rowOff>
    </xdr:from>
    <xdr:to>
      <xdr:col>31</xdr:col>
      <xdr:colOff>63500</xdr:colOff>
      <xdr:row>258</xdr:row>
      <xdr:rowOff>1</xdr:rowOff>
    </xdr:to>
    <xdr:sp macro="" textlink="">
      <xdr:nvSpPr>
        <xdr:cNvPr id="968" name="nuNumber: 997" hidden="1">
          <a:extLst>
            <a:ext uri="{FF2B5EF4-FFF2-40B4-BE49-F238E27FC236}">
              <a16:creationId xmlns:a16="http://schemas.microsoft.com/office/drawing/2014/main" id="{370819F6-572D-40D9-893D-8E053E845A57}"/>
            </a:ext>
          </a:extLst>
        </xdr:cNvPr>
        <xdr:cNvSpPr/>
      </xdr:nvSpPr>
      <xdr:spPr bwMode="auto">
        <a:xfrm>
          <a:off x="23383875" y="548309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258</xdr:row>
      <xdr:rowOff>119380</xdr:rowOff>
    </xdr:from>
    <xdr:to>
      <xdr:col>30</xdr:col>
      <xdr:colOff>63499</xdr:colOff>
      <xdr:row>259</xdr:row>
      <xdr:rowOff>0</xdr:rowOff>
    </xdr:to>
    <xdr:sp macro="" textlink="">
      <xdr:nvSpPr>
        <xdr:cNvPr id="969" name="nuNumber: 998" hidden="1">
          <a:extLst>
            <a:ext uri="{FF2B5EF4-FFF2-40B4-BE49-F238E27FC236}">
              <a16:creationId xmlns:a16="http://schemas.microsoft.com/office/drawing/2014/main" id="{7928B74B-52EA-4D30-9145-FCAB70558921}"/>
            </a:ext>
          </a:extLst>
        </xdr:cNvPr>
        <xdr:cNvSpPr/>
      </xdr:nvSpPr>
      <xdr:spPr bwMode="auto">
        <a:xfrm>
          <a:off x="22242779" y="55040530"/>
          <a:ext cx="61595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258</xdr:row>
      <xdr:rowOff>119380</xdr:rowOff>
    </xdr:from>
    <xdr:to>
      <xdr:col>31</xdr:col>
      <xdr:colOff>63500</xdr:colOff>
      <xdr:row>259</xdr:row>
      <xdr:rowOff>0</xdr:rowOff>
    </xdr:to>
    <xdr:sp macro="" textlink="">
      <xdr:nvSpPr>
        <xdr:cNvPr id="970" name="nuNumber: 999" hidden="1">
          <a:extLst>
            <a:ext uri="{FF2B5EF4-FFF2-40B4-BE49-F238E27FC236}">
              <a16:creationId xmlns:a16="http://schemas.microsoft.com/office/drawing/2014/main" id="{F903F76B-6F7E-4E17-A213-8A5A11C58C38}"/>
            </a:ext>
          </a:extLst>
        </xdr:cNvPr>
        <xdr:cNvSpPr/>
      </xdr:nvSpPr>
      <xdr:spPr bwMode="auto">
        <a:xfrm>
          <a:off x="23383875" y="550405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259</xdr:row>
      <xdr:rowOff>119379</xdr:rowOff>
    </xdr:from>
    <xdr:to>
      <xdr:col>30</xdr:col>
      <xdr:colOff>63499</xdr:colOff>
      <xdr:row>259</xdr:row>
      <xdr:rowOff>182879</xdr:rowOff>
    </xdr:to>
    <xdr:sp macro="" textlink="">
      <xdr:nvSpPr>
        <xdr:cNvPr id="971" name="nuNumber: 1000" hidden="1">
          <a:extLst>
            <a:ext uri="{FF2B5EF4-FFF2-40B4-BE49-F238E27FC236}">
              <a16:creationId xmlns:a16="http://schemas.microsoft.com/office/drawing/2014/main" id="{74F5AAAE-9A43-4564-8D4F-A18EB338817E}"/>
            </a:ext>
          </a:extLst>
        </xdr:cNvPr>
        <xdr:cNvSpPr/>
      </xdr:nvSpPr>
      <xdr:spPr bwMode="auto">
        <a:xfrm>
          <a:off x="22242779" y="55250079"/>
          <a:ext cx="61595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259</xdr:row>
      <xdr:rowOff>119379</xdr:rowOff>
    </xdr:from>
    <xdr:to>
      <xdr:col>31</xdr:col>
      <xdr:colOff>63500</xdr:colOff>
      <xdr:row>259</xdr:row>
      <xdr:rowOff>182879</xdr:rowOff>
    </xdr:to>
    <xdr:sp macro="" textlink="">
      <xdr:nvSpPr>
        <xdr:cNvPr id="972" name="nuNumber: 1001" hidden="1">
          <a:extLst>
            <a:ext uri="{FF2B5EF4-FFF2-40B4-BE49-F238E27FC236}">
              <a16:creationId xmlns:a16="http://schemas.microsoft.com/office/drawing/2014/main" id="{BB4F2CC8-D77C-4523-A470-4E6CA0B80989}"/>
            </a:ext>
          </a:extLst>
        </xdr:cNvPr>
        <xdr:cNvSpPr/>
      </xdr:nvSpPr>
      <xdr:spPr bwMode="auto">
        <a:xfrm>
          <a:off x="23383875" y="552500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260</xdr:row>
      <xdr:rowOff>294641</xdr:rowOff>
    </xdr:from>
    <xdr:to>
      <xdr:col>30</xdr:col>
      <xdr:colOff>63499</xdr:colOff>
      <xdr:row>261</xdr:row>
      <xdr:rowOff>1</xdr:rowOff>
    </xdr:to>
    <xdr:sp macro="" textlink="">
      <xdr:nvSpPr>
        <xdr:cNvPr id="973" name="nuNumber: 1002" hidden="1">
          <a:extLst>
            <a:ext uri="{FF2B5EF4-FFF2-40B4-BE49-F238E27FC236}">
              <a16:creationId xmlns:a16="http://schemas.microsoft.com/office/drawing/2014/main" id="{228CEBC3-9DF9-41E0-B5EB-387C82C5AD00}"/>
            </a:ext>
          </a:extLst>
        </xdr:cNvPr>
        <xdr:cNvSpPr/>
      </xdr:nvSpPr>
      <xdr:spPr bwMode="auto">
        <a:xfrm>
          <a:off x="22242779" y="55634891"/>
          <a:ext cx="61595" cy="12446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260</xdr:row>
      <xdr:rowOff>294641</xdr:rowOff>
    </xdr:from>
    <xdr:to>
      <xdr:col>31</xdr:col>
      <xdr:colOff>63500</xdr:colOff>
      <xdr:row>261</xdr:row>
      <xdr:rowOff>1</xdr:rowOff>
    </xdr:to>
    <xdr:sp macro="" textlink="">
      <xdr:nvSpPr>
        <xdr:cNvPr id="974" name="nuNumber: 1003" hidden="1">
          <a:extLst>
            <a:ext uri="{FF2B5EF4-FFF2-40B4-BE49-F238E27FC236}">
              <a16:creationId xmlns:a16="http://schemas.microsoft.com/office/drawing/2014/main" id="{83A0041D-F2EF-436F-BBCF-76C7B8AEC6B6}"/>
            </a:ext>
          </a:extLst>
        </xdr:cNvPr>
        <xdr:cNvSpPr/>
      </xdr:nvSpPr>
      <xdr:spPr bwMode="auto">
        <a:xfrm>
          <a:off x="23383875" y="55634891"/>
          <a:ext cx="63500" cy="12446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261</xdr:row>
      <xdr:rowOff>294641</xdr:rowOff>
    </xdr:from>
    <xdr:to>
      <xdr:col>30</xdr:col>
      <xdr:colOff>63499</xdr:colOff>
      <xdr:row>262</xdr:row>
      <xdr:rowOff>1</xdr:rowOff>
    </xdr:to>
    <xdr:sp macro="" textlink="">
      <xdr:nvSpPr>
        <xdr:cNvPr id="975" name="nuNumber: 1004" hidden="1">
          <a:extLst>
            <a:ext uri="{FF2B5EF4-FFF2-40B4-BE49-F238E27FC236}">
              <a16:creationId xmlns:a16="http://schemas.microsoft.com/office/drawing/2014/main" id="{F6BD833A-096C-4345-8498-EC0DD63C146F}"/>
            </a:ext>
          </a:extLst>
        </xdr:cNvPr>
        <xdr:cNvSpPr/>
      </xdr:nvSpPr>
      <xdr:spPr bwMode="auto">
        <a:xfrm>
          <a:off x="22242779" y="56053991"/>
          <a:ext cx="61595" cy="12446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261</xdr:row>
      <xdr:rowOff>294641</xdr:rowOff>
    </xdr:from>
    <xdr:to>
      <xdr:col>31</xdr:col>
      <xdr:colOff>63500</xdr:colOff>
      <xdr:row>262</xdr:row>
      <xdr:rowOff>1</xdr:rowOff>
    </xdr:to>
    <xdr:sp macro="" textlink="">
      <xdr:nvSpPr>
        <xdr:cNvPr id="976" name="nuNumber: 1005" hidden="1">
          <a:extLst>
            <a:ext uri="{FF2B5EF4-FFF2-40B4-BE49-F238E27FC236}">
              <a16:creationId xmlns:a16="http://schemas.microsoft.com/office/drawing/2014/main" id="{434F808E-6BEF-445E-A7ED-091DED299264}"/>
            </a:ext>
          </a:extLst>
        </xdr:cNvPr>
        <xdr:cNvSpPr/>
      </xdr:nvSpPr>
      <xdr:spPr bwMode="auto">
        <a:xfrm>
          <a:off x="23383875" y="56053991"/>
          <a:ext cx="63500" cy="12446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262</xdr:row>
      <xdr:rowOff>119379</xdr:rowOff>
    </xdr:from>
    <xdr:to>
      <xdr:col>30</xdr:col>
      <xdr:colOff>63499</xdr:colOff>
      <xdr:row>262</xdr:row>
      <xdr:rowOff>182879</xdr:rowOff>
    </xdr:to>
    <xdr:sp macro="" textlink="">
      <xdr:nvSpPr>
        <xdr:cNvPr id="977" name="nuNumber: 1006" hidden="1">
          <a:extLst>
            <a:ext uri="{FF2B5EF4-FFF2-40B4-BE49-F238E27FC236}">
              <a16:creationId xmlns:a16="http://schemas.microsoft.com/office/drawing/2014/main" id="{F4D39BDF-DAF4-455A-A9F0-0C9026E3F4B1}"/>
            </a:ext>
          </a:extLst>
        </xdr:cNvPr>
        <xdr:cNvSpPr/>
      </xdr:nvSpPr>
      <xdr:spPr bwMode="auto">
        <a:xfrm>
          <a:off x="22242779" y="56297829"/>
          <a:ext cx="61595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262</xdr:row>
      <xdr:rowOff>119379</xdr:rowOff>
    </xdr:from>
    <xdr:to>
      <xdr:col>31</xdr:col>
      <xdr:colOff>63500</xdr:colOff>
      <xdr:row>262</xdr:row>
      <xdr:rowOff>182879</xdr:rowOff>
    </xdr:to>
    <xdr:sp macro="" textlink="">
      <xdr:nvSpPr>
        <xdr:cNvPr id="978" name="nuNumber: 1007" hidden="1">
          <a:extLst>
            <a:ext uri="{FF2B5EF4-FFF2-40B4-BE49-F238E27FC236}">
              <a16:creationId xmlns:a16="http://schemas.microsoft.com/office/drawing/2014/main" id="{619ED5B9-43A1-4921-BD6B-284F8585B326}"/>
            </a:ext>
          </a:extLst>
        </xdr:cNvPr>
        <xdr:cNvSpPr/>
      </xdr:nvSpPr>
      <xdr:spPr bwMode="auto">
        <a:xfrm>
          <a:off x="23383875" y="5629782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264</xdr:row>
      <xdr:rowOff>119380</xdr:rowOff>
    </xdr:from>
    <xdr:to>
      <xdr:col>6</xdr:col>
      <xdr:colOff>63500</xdr:colOff>
      <xdr:row>265</xdr:row>
      <xdr:rowOff>0</xdr:rowOff>
    </xdr:to>
    <xdr:sp macro="" textlink="">
      <xdr:nvSpPr>
        <xdr:cNvPr id="979" name="nuNumber: 1008" hidden="1">
          <a:extLst>
            <a:ext uri="{FF2B5EF4-FFF2-40B4-BE49-F238E27FC236}">
              <a16:creationId xmlns:a16="http://schemas.microsoft.com/office/drawing/2014/main" id="{89B11818-7DD8-4B75-B66F-1650927BC18A}"/>
            </a:ext>
          </a:extLst>
        </xdr:cNvPr>
        <xdr:cNvSpPr/>
      </xdr:nvSpPr>
      <xdr:spPr bwMode="auto">
        <a:xfrm>
          <a:off x="3800475" y="56716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264</xdr:row>
      <xdr:rowOff>119380</xdr:rowOff>
    </xdr:from>
    <xdr:to>
      <xdr:col>7</xdr:col>
      <xdr:colOff>63500</xdr:colOff>
      <xdr:row>265</xdr:row>
      <xdr:rowOff>0</xdr:rowOff>
    </xdr:to>
    <xdr:sp macro="" textlink="">
      <xdr:nvSpPr>
        <xdr:cNvPr id="980" name="nuNumber: 1009" hidden="1">
          <a:extLst>
            <a:ext uri="{FF2B5EF4-FFF2-40B4-BE49-F238E27FC236}">
              <a16:creationId xmlns:a16="http://schemas.microsoft.com/office/drawing/2014/main" id="{D3CC1789-2341-4297-9C28-6F52EAC8C47C}"/>
            </a:ext>
          </a:extLst>
        </xdr:cNvPr>
        <xdr:cNvSpPr/>
      </xdr:nvSpPr>
      <xdr:spPr bwMode="auto">
        <a:xfrm>
          <a:off x="4676775" y="56716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264</xdr:row>
      <xdr:rowOff>119380</xdr:rowOff>
    </xdr:from>
    <xdr:to>
      <xdr:col>8</xdr:col>
      <xdr:colOff>63500</xdr:colOff>
      <xdr:row>265</xdr:row>
      <xdr:rowOff>0</xdr:rowOff>
    </xdr:to>
    <xdr:sp macro="" textlink="">
      <xdr:nvSpPr>
        <xdr:cNvPr id="981" name="nuNumber: 1010" hidden="1">
          <a:extLst>
            <a:ext uri="{FF2B5EF4-FFF2-40B4-BE49-F238E27FC236}">
              <a16:creationId xmlns:a16="http://schemas.microsoft.com/office/drawing/2014/main" id="{75F070EA-2576-4DA9-AD1C-A6B42080880F}"/>
            </a:ext>
          </a:extLst>
        </xdr:cNvPr>
        <xdr:cNvSpPr/>
      </xdr:nvSpPr>
      <xdr:spPr bwMode="auto">
        <a:xfrm>
          <a:off x="5562600" y="56716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264</xdr:row>
      <xdr:rowOff>119380</xdr:rowOff>
    </xdr:from>
    <xdr:to>
      <xdr:col>9</xdr:col>
      <xdr:colOff>63500</xdr:colOff>
      <xdr:row>265</xdr:row>
      <xdr:rowOff>0</xdr:rowOff>
    </xdr:to>
    <xdr:sp macro="" textlink="">
      <xdr:nvSpPr>
        <xdr:cNvPr id="982" name="nuNumber: 1011" hidden="1">
          <a:extLst>
            <a:ext uri="{FF2B5EF4-FFF2-40B4-BE49-F238E27FC236}">
              <a16:creationId xmlns:a16="http://schemas.microsoft.com/office/drawing/2014/main" id="{06606DAA-617B-431B-8FED-11DDFE53E171}"/>
            </a:ext>
          </a:extLst>
        </xdr:cNvPr>
        <xdr:cNvSpPr/>
      </xdr:nvSpPr>
      <xdr:spPr bwMode="auto">
        <a:xfrm>
          <a:off x="6467475" y="56716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264</xdr:row>
      <xdr:rowOff>119380</xdr:rowOff>
    </xdr:from>
    <xdr:to>
      <xdr:col>9</xdr:col>
      <xdr:colOff>63500</xdr:colOff>
      <xdr:row>265</xdr:row>
      <xdr:rowOff>0</xdr:rowOff>
    </xdr:to>
    <xdr:sp macro="" textlink="">
      <xdr:nvSpPr>
        <xdr:cNvPr id="983" name="nuNumber: 1012" hidden="1">
          <a:extLst>
            <a:ext uri="{FF2B5EF4-FFF2-40B4-BE49-F238E27FC236}">
              <a16:creationId xmlns:a16="http://schemas.microsoft.com/office/drawing/2014/main" id="{595CCE8E-8A04-4806-BD6E-F494FAA21A1E}"/>
            </a:ext>
          </a:extLst>
        </xdr:cNvPr>
        <xdr:cNvSpPr/>
      </xdr:nvSpPr>
      <xdr:spPr bwMode="auto">
        <a:xfrm>
          <a:off x="6467475" y="56716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264</xdr:row>
      <xdr:rowOff>119380</xdr:rowOff>
    </xdr:from>
    <xdr:to>
      <xdr:col>10</xdr:col>
      <xdr:colOff>63500</xdr:colOff>
      <xdr:row>265</xdr:row>
      <xdr:rowOff>0</xdr:rowOff>
    </xdr:to>
    <xdr:sp macro="" textlink="">
      <xdr:nvSpPr>
        <xdr:cNvPr id="984" name="nuNumber: 1013" hidden="1">
          <a:extLst>
            <a:ext uri="{FF2B5EF4-FFF2-40B4-BE49-F238E27FC236}">
              <a16:creationId xmlns:a16="http://schemas.microsoft.com/office/drawing/2014/main" id="{4BD3E54D-86AE-4BBE-BEA4-D73968800F06}"/>
            </a:ext>
          </a:extLst>
        </xdr:cNvPr>
        <xdr:cNvSpPr/>
      </xdr:nvSpPr>
      <xdr:spPr bwMode="auto">
        <a:xfrm>
          <a:off x="7315200" y="56716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264</xdr:row>
      <xdr:rowOff>119380</xdr:rowOff>
    </xdr:from>
    <xdr:to>
      <xdr:col>11</xdr:col>
      <xdr:colOff>63500</xdr:colOff>
      <xdr:row>265</xdr:row>
      <xdr:rowOff>0</xdr:rowOff>
    </xdr:to>
    <xdr:sp macro="" textlink="">
      <xdr:nvSpPr>
        <xdr:cNvPr id="985" name="nuNumber: 1014" hidden="1">
          <a:extLst>
            <a:ext uri="{FF2B5EF4-FFF2-40B4-BE49-F238E27FC236}">
              <a16:creationId xmlns:a16="http://schemas.microsoft.com/office/drawing/2014/main" id="{67D64D54-3598-4D98-AB4A-EC8670137244}"/>
            </a:ext>
          </a:extLst>
        </xdr:cNvPr>
        <xdr:cNvSpPr/>
      </xdr:nvSpPr>
      <xdr:spPr bwMode="auto">
        <a:xfrm>
          <a:off x="8105775" y="56716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264</xdr:row>
      <xdr:rowOff>119380</xdr:rowOff>
    </xdr:from>
    <xdr:to>
      <xdr:col>12</xdr:col>
      <xdr:colOff>63500</xdr:colOff>
      <xdr:row>265</xdr:row>
      <xdr:rowOff>0</xdr:rowOff>
    </xdr:to>
    <xdr:sp macro="" textlink="">
      <xdr:nvSpPr>
        <xdr:cNvPr id="986" name="nuNumber: 1015" hidden="1">
          <a:extLst>
            <a:ext uri="{FF2B5EF4-FFF2-40B4-BE49-F238E27FC236}">
              <a16:creationId xmlns:a16="http://schemas.microsoft.com/office/drawing/2014/main" id="{A41DD43F-A48D-4C2E-BB0B-41DC1A03CD79}"/>
            </a:ext>
          </a:extLst>
        </xdr:cNvPr>
        <xdr:cNvSpPr/>
      </xdr:nvSpPr>
      <xdr:spPr bwMode="auto">
        <a:xfrm>
          <a:off x="8972550" y="56716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264</xdr:row>
      <xdr:rowOff>119380</xdr:rowOff>
    </xdr:from>
    <xdr:to>
      <xdr:col>13</xdr:col>
      <xdr:colOff>63500</xdr:colOff>
      <xdr:row>265</xdr:row>
      <xdr:rowOff>0</xdr:rowOff>
    </xdr:to>
    <xdr:sp macro="" textlink="">
      <xdr:nvSpPr>
        <xdr:cNvPr id="987" name="nuNumber: 1016" hidden="1">
          <a:extLst>
            <a:ext uri="{FF2B5EF4-FFF2-40B4-BE49-F238E27FC236}">
              <a16:creationId xmlns:a16="http://schemas.microsoft.com/office/drawing/2014/main" id="{E376110D-7E49-4422-B14D-AE88116476CF}"/>
            </a:ext>
          </a:extLst>
        </xdr:cNvPr>
        <xdr:cNvSpPr/>
      </xdr:nvSpPr>
      <xdr:spPr bwMode="auto">
        <a:xfrm>
          <a:off x="9753600" y="56716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264</xdr:row>
      <xdr:rowOff>119380</xdr:rowOff>
    </xdr:from>
    <xdr:to>
      <xdr:col>14</xdr:col>
      <xdr:colOff>63500</xdr:colOff>
      <xdr:row>265</xdr:row>
      <xdr:rowOff>0</xdr:rowOff>
    </xdr:to>
    <xdr:sp macro="" textlink="">
      <xdr:nvSpPr>
        <xdr:cNvPr id="988" name="nuNumber: 1017" hidden="1">
          <a:extLst>
            <a:ext uri="{FF2B5EF4-FFF2-40B4-BE49-F238E27FC236}">
              <a16:creationId xmlns:a16="http://schemas.microsoft.com/office/drawing/2014/main" id="{888A6416-7FDE-436B-8FA9-786324EEEC4A}"/>
            </a:ext>
          </a:extLst>
        </xdr:cNvPr>
        <xdr:cNvSpPr/>
      </xdr:nvSpPr>
      <xdr:spPr bwMode="auto">
        <a:xfrm>
          <a:off x="10515600" y="56716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264</xdr:row>
      <xdr:rowOff>119380</xdr:rowOff>
    </xdr:from>
    <xdr:to>
      <xdr:col>15</xdr:col>
      <xdr:colOff>63500</xdr:colOff>
      <xdr:row>265</xdr:row>
      <xdr:rowOff>0</xdr:rowOff>
    </xdr:to>
    <xdr:sp macro="" textlink="">
      <xdr:nvSpPr>
        <xdr:cNvPr id="989" name="nuNumber: 1018" hidden="1">
          <a:extLst>
            <a:ext uri="{FF2B5EF4-FFF2-40B4-BE49-F238E27FC236}">
              <a16:creationId xmlns:a16="http://schemas.microsoft.com/office/drawing/2014/main" id="{A31AEB83-82FE-4373-A446-4E3C6F88D59B}"/>
            </a:ext>
          </a:extLst>
        </xdr:cNvPr>
        <xdr:cNvSpPr/>
      </xdr:nvSpPr>
      <xdr:spPr bwMode="auto">
        <a:xfrm>
          <a:off x="11325225" y="56716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264</xdr:row>
      <xdr:rowOff>119380</xdr:rowOff>
    </xdr:from>
    <xdr:to>
      <xdr:col>16</xdr:col>
      <xdr:colOff>63500</xdr:colOff>
      <xdr:row>265</xdr:row>
      <xdr:rowOff>0</xdr:rowOff>
    </xdr:to>
    <xdr:sp macro="" textlink="">
      <xdr:nvSpPr>
        <xdr:cNvPr id="990" name="nuNumber: 1019" hidden="1">
          <a:extLst>
            <a:ext uri="{FF2B5EF4-FFF2-40B4-BE49-F238E27FC236}">
              <a16:creationId xmlns:a16="http://schemas.microsoft.com/office/drawing/2014/main" id="{CC98782B-4898-4734-A1CF-2156B7B2B3D1}"/>
            </a:ext>
          </a:extLst>
        </xdr:cNvPr>
        <xdr:cNvSpPr/>
      </xdr:nvSpPr>
      <xdr:spPr bwMode="auto">
        <a:xfrm>
          <a:off x="12106275" y="56716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264</xdr:row>
      <xdr:rowOff>119380</xdr:rowOff>
    </xdr:from>
    <xdr:to>
      <xdr:col>17</xdr:col>
      <xdr:colOff>63500</xdr:colOff>
      <xdr:row>265</xdr:row>
      <xdr:rowOff>0</xdr:rowOff>
    </xdr:to>
    <xdr:sp macro="" textlink="">
      <xdr:nvSpPr>
        <xdr:cNvPr id="991" name="nuNumber: 1020" hidden="1">
          <a:extLst>
            <a:ext uri="{FF2B5EF4-FFF2-40B4-BE49-F238E27FC236}">
              <a16:creationId xmlns:a16="http://schemas.microsoft.com/office/drawing/2014/main" id="{1D674E4E-2B9C-4E69-AB31-25F69B5C22AE}"/>
            </a:ext>
          </a:extLst>
        </xdr:cNvPr>
        <xdr:cNvSpPr/>
      </xdr:nvSpPr>
      <xdr:spPr bwMode="auto">
        <a:xfrm>
          <a:off x="12887325" y="56716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264</xdr:row>
      <xdr:rowOff>119380</xdr:rowOff>
    </xdr:from>
    <xdr:to>
      <xdr:col>18</xdr:col>
      <xdr:colOff>63499</xdr:colOff>
      <xdr:row>265</xdr:row>
      <xdr:rowOff>0</xdr:rowOff>
    </xdr:to>
    <xdr:sp macro="" textlink="">
      <xdr:nvSpPr>
        <xdr:cNvPr id="992" name="nuNumber: 1021" hidden="1">
          <a:extLst>
            <a:ext uri="{FF2B5EF4-FFF2-40B4-BE49-F238E27FC236}">
              <a16:creationId xmlns:a16="http://schemas.microsoft.com/office/drawing/2014/main" id="{CBFFFC09-C558-4280-B483-3BA077837BC9}"/>
            </a:ext>
          </a:extLst>
        </xdr:cNvPr>
        <xdr:cNvSpPr/>
      </xdr:nvSpPr>
      <xdr:spPr bwMode="auto">
        <a:xfrm>
          <a:off x="13624559" y="5671693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264</xdr:row>
      <xdr:rowOff>119380</xdr:rowOff>
    </xdr:from>
    <xdr:to>
      <xdr:col>19</xdr:col>
      <xdr:colOff>63500</xdr:colOff>
      <xdr:row>265</xdr:row>
      <xdr:rowOff>0</xdr:rowOff>
    </xdr:to>
    <xdr:sp macro="" textlink="">
      <xdr:nvSpPr>
        <xdr:cNvPr id="993" name="nuNumber: 1022" hidden="1">
          <a:extLst>
            <a:ext uri="{FF2B5EF4-FFF2-40B4-BE49-F238E27FC236}">
              <a16:creationId xmlns:a16="http://schemas.microsoft.com/office/drawing/2014/main" id="{8806D593-4C79-4631-967E-610F3FC8FD2E}"/>
            </a:ext>
          </a:extLst>
        </xdr:cNvPr>
        <xdr:cNvSpPr/>
      </xdr:nvSpPr>
      <xdr:spPr bwMode="auto">
        <a:xfrm>
          <a:off x="14382750" y="56716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264</xdr:row>
      <xdr:rowOff>119380</xdr:rowOff>
    </xdr:from>
    <xdr:to>
      <xdr:col>20</xdr:col>
      <xdr:colOff>63500</xdr:colOff>
      <xdr:row>265</xdr:row>
      <xdr:rowOff>0</xdr:rowOff>
    </xdr:to>
    <xdr:sp macro="" textlink="">
      <xdr:nvSpPr>
        <xdr:cNvPr id="994" name="nuNumber: 1023" hidden="1">
          <a:extLst>
            <a:ext uri="{FF2B5EF4-FFF2-40B4-BE49-F238E27FC236}">
              <a16:creationId xmlns:a16="http://schemas.microsoft.com/office/drawing/2014/main" id="{BC21741C-D2B3-4CAD-9ABE-669D5A0D2459}"/>
            </a:ext>
          </a:extLst>
        </xdr:cNvPr>
        <xdr:cNvSpPr/>
      </xdr:nvSpPr>
      <xdr:spPr bwMode="auto">
        <a:xfrm>
          <a:off x="15135225" y="56716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264</xdr:row>
      <xdr:rowOff>119380</xdr:rowOff>
    </xdr:from>
    <xdr:to>
      <xdr:col>21</xdr:col>
      <xdr:colOff>63500</xdr:colOff>
      <xdr:row>265</xdr:row>
      <xdr:rowOff>0</xdr:rowOff>
    </xdr:to>
    <xdr:sp macro="" textlink="">
      <xdr:nvSpPr>
        <xdr:cNvPr id="995" name="nuNumber: 1024" hidden="1">
          <a:extLst>
            <a:ext uri="{FF2B5EF4-FFF2-40B4-BE49-F238E27FC236}">
              <a16:creationId xmlns:a16="http://schemas.microsoft.com/office/drawing/2014/main" id="{608E7FE4-49C1-48B2-852E-A0A0D36F10DC}"/>
            </a:ext>
          </a:extLst>
        </xdr:cNvPr>
        <xdr:cNvSpPr/>
      </xdr:nvSpPr>
      <xdr:spPr bwMode="auto">
        <a:xfrm>
          <a:off x="15849600" y="56716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264</xdr:row>
      <xdr:rowOff>119380</xdr:rowOff>
    </xdr:from>
    <xdr:to>
      <xdr:col>31</xdr:col>
      <xdr:colOff>63500</xdr:colOff>
      <xdr:row>265</xdr:row>
      <xdr:rowOff>0</xdr:rowOff>
    </xdr:to>
    <xdr:sp macro="" textlink="">
      <xdr:nvSpPr>
        <xdr:cNvPr id="996" name="nuNumber: 1025" hidden="1">
          <a:extLst>
            <a:ext uri="{FF2B5EF4-FFF2-40B4-BE49-F238E27FC236}">
              <a16:creationId xmlns:a16="http://schemas.microsoft.com/office/drawing/2014/main" id="{19165B41-D0D3-4E7A-9494-8C6757E7D661}"/>
            </a:ext>
          </a:extLst>
        </xdr:cNvPr>
        <xdr:cNvSpPr/>
      </xdr:nvSpPr>
      <xdr:spPr bwMode="auto">
        <a:xfrm>
          <a:off x="23383875" y="567169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265</xdr:row>
      <xdr:rowOff>119379</xdr:rowOff>
    </xdr:from>
    <xdr:to>
      <xdr:col>6</xdr:col>
      <xdr:colOff>63500</xdr:colOff>
      <xdr:row>265</xdr:row>
      <xdr:rowOff>182879</xdr:rowOff>
    </xdr:to>
    <xdr:sp macro="" textlink="">
      <xdr:nvSpPr>
        <xdr:cNvPr id="997" name="nuNumber: 1026" hidden="1">
          <a:extLst>
            <a:ext uri="{FF2B5EF4-FFF2-40B4-BE49-F238E27FC236}">
              <a16:creationId xmlns:a16="http://schemas.microsoft.com/office/drawing/2014/main" id="{5DA1DCE1-0506-4769-86E9-68901630E0D5}"/>
            </a:ext>
          </a:extLst>
        </xdr:cNvPr>
        <xdr:cNvSpPr/>
      </xdr:nvSpPr>
      <xdr:spPr bwMode="auto">
        <a:xfrm>
          <a:off x="3800475" y="569264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265</xdr:row>
      <xdr:rowOff>119379</xdr:rowOff>
    </xdr:from>
    <xdr:to>
      <xdr:col>7</xdr:col>
      <xdr:colOff>63500</xdr:colOff>
      <xdr:row>265</xdr:row>
      <xdr:rowOff>182879</xdr:rowOff>
    </xdr:to>
    <xdr:sp macro="" textlink="">
      <xdr:nvSpPr>
        <xdr:cNvPr id="998" name="nuNumber: 1027" hidden="1">
          <a:extLst>
            <a:ext uri="{FF2B5EF4-FFF2-40B4-BE49-F238E27FC236}">
              <a16:creationId xmlns:a16="http://schemas.microsoft.com/office/drawing/2014/main" id="{9B7F683C-8F52-4756-B574-041E53D35295}"/>
            </a:ext>
          </a:extLst>
        </xdr:cNvPr>
        <xdr:cNvSpPr/>
      </xdr:nvSpPr>
      <xdr:spPr bwMode="auto">
        <a:xfrm>
          <a:off x="4676775" y="569264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265</xdr:row>
      <xdr:rowOff>119379</xdr:rowOff>
    </xdr:from>
    <xdr:to>
      <xdr:col>8</xdr:col>
      <xdr:colOff>63500</xdr:colOff>
      <xdr:row>265</xdr:row>
      <xdr:rowOff>182879</xdr:rowOff>
    </xdr:to>
    <xdr:sp macro="" textlink="">
      <xdr:nvSpPr>
        <xdr:cNvPr id="999" name="nuNumber: 1028" hidden="1">
          <a:extLst>
            <a:ext uri="{FF2B5EF4-FFF2-40B4-BE49-F238E27FC236}">
              <a16:creationId xmlns:a16="http://schemas.microsoft.com/office/drawing/2014/main" id="{D697F5F7-9887-4C96-A6CD-CADB986EB08D}"/>
            </a:ext>
          </a:extLst>
        </xdr:cNvPr>
        <xdr:cNvSpPr/>
      </xdr:nvSpPr>
      <xdr:spPr bwMode="auto">
        <a:xfrm>
          <a:off x="5562600" y="569264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265</xdr:row>
      <xdr:rowOff>119379</xdr:rowOff>
    </xdr:from>
    <xdr:to>
      <xdr:col>9</xdr:col>
      <xdr:colOff>63500</xdr:colOff>
      <xdr:row>265</xdr:row>
      <xdr:rowOff>182879</xdr:rowOff>
    </xdr:to>
    <xdr:sp macro="" textlink="">
      <xdr:nvSpPr>
        <xdr:cNvPr id="1000" name="nuNumber: 1029" hidden="1">
          <a:extLst>
            <a:ext uri="{FF2B5EF4-FFF2-40B4-BE49-F238E27FC236}">
              <a16:creationId xmlns:a16="http://schemas.microsoft.com/office/drawing/2014/main" id="{9935A9C2-AC8B-4083-B2A9-8044FD627FF0}"/>
            </a:ext>
          </a:extLst>
        </xdr:cNvPr>
        <xdr:cNvSpPr/>
      </xdr:nvSpPr>
      <xdr:spPr bwMode="auto">
        <a:xfrm>
          <a:off x="6467475" y="569264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265</xdr:row>
      <xdr:rowOff>119379</xdr:rowOff>
    </xdr:from>
    <xdr:to>
      <xdr:col>9</xdr:col>
      <xdr:colOff>63500</xdr:colOff>
      <xdr:row>265</xdr:row>
      <xdr:rowOff>182879</xdr:rowOff>
    </xdr:to>
    <xdr:sp macro="" textlink="">
      <xdr:nvSpPr>
        <xdr:cNvPr id="1001" name="nuNumber: 1030" hidden="1">
          <a:extLst>
            <a:ext uri="{FF2B5EF4-FFF2-40B4-BE49-F238E27FC236}">
              <a16:creationId xmlns:a16="http://schemas.microsoft.com/office/drawing/2014/main" id="{F4435E72-2D65-4091-BC88-495DAE5D3779}"/>
            </a:ext>
          </a:extLst>
        </xdr:cNvPr>
        <xdr:cNvSpPr/>
      </xdr:nvSpPr>
      <xdr:spPr bwMode="auto">
        <a:xfrm>
          <a:off x="6467475" y="569264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265</xdr:row>
      <xdr:rowOff>119379</xdr:rowOff>
    </xdr:from>
    <xdr:to>
      <xdr:col>10</xdr:col>
      <xdr:colOff>63500</xdr:colOff>
      <xdr:row>265</xdr:row>
      <xdr:rowOff>182879</xdr:rowOff>
    </xdr:to>
    <xdr:sp macro="" textlink="">
      <xdr:nvSpPr>
        <xdr:cNvPr id="1002" name="nuNumber: 1031" hidden="1">
          <a:extLst>
            <a:ext uri="{FF2B5EF4-FFF2-40B4-BE49-F238E27FC236}">
              <a16:creationId xmlns:a16="http://schemas.microsoft.com/office/drawing/2014/main" id="{4AC58DDF-E3C3-49CC-80D4-94A2CDCE2BF1}"/>
            </a:ext>
          </a:extLst>
        </xdr:cNvPr>
        <xdr:cNvSpPr/>
      </xdr:nvSpPr>
      <xdr:spPr bwMode="auto">
        <a:xfrm>
          <a:off x="7315200" y="569264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265</xdr:row>
      <xdr:rowOff>119379</xdr:rowOff>
    </xdr:from>
    <xdr:to>
      <xdr:col>11</xdr:col>
      <xdr:colOff>63500</xdr:colOff>
      <xdr:row>265</xdr:row>
      <xdr:rowOff>182879</xdr:rowOff>
    </xdr:to>
    <xdr:sp macro="" textlink="">
      <xdr:nvSpPr>
        <xdr:cNvPr id="1003" name="nuNumber: 1032" hidden="1">
          <a:extLst>
            <a:ext uri="{FF2B5EF4-FFF2-40B4-BE49-F238E27FC236}">
              <a16:creationId xmlns:a16="http://schemas.microsoft.com/office/drawing/2014/main" id="{9AA061C3-822B-4476-83DA-B52894FDBBB7}"/>
            </a:ext>
          </a:extLst>
        </xdr:cNvPr>
        <xdr:cNvSpPr/>
      </xdr:nvSpPr>
      <xdr:spPr bwMode="auto">
        <a:xfrm>
          <a:off x="8105775" y="569264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265</xdr:row>
      <xdr:rowOff>119379</xdr:rowOff>
    </xdr:from>
    <xdr:to>
      <xdr:col>12</xdr:col>
      <xdr:colOff>63500</xdr:colOff>
      <xdr:row>265</xdr:row>
      <xdr:rowOff>182879</xdr:rowOff>
    </xdr:to>
    <xdr:sp macro="" textlink="">
      <xdr:nvSpPr>
        <xdr:cNvPr id="1004" name="nuNumber: 1033" hidden="1">
          <a:extLst>
            <a:ext uri="{FF2B5EF4-FFF2-40B4-BE49-F238E27FC236}">
              <a16:creationId xmlns:a16="http://schemas.microsoft.com/office/drawing/2014/main" id="{E54E8A89-4949-4073-B351-7FCF098E4CE5}"/>
            </a:ext>
          </a:extLst>
        </xdr:cNvPr>
        <xdr:cNvSpPr/>
      </xdr:nvSpPr>
      <xdr:spPr bwMode="auto">
        <a:xfrm>
          <a:off x="8972550" y="569264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265</xdr:row>
      <xdr:rowOff>119379</xdr:rowOff>
    </xdr:from>
    <xdr:to>
      <xdr:col>13</xdr:col>
      <xdr:colOff>63500</xdr:colOff>
      <xdr:row>265</xdr:row>
      <xdr:rowOff>182879</xdr:rowOff>
    </xdr:to>
    <xdr:sp macro="" textlink="">
      <xdr:nvSpPr>
        <xdr:cNvPr id="1005" name="nuNumber: 1034" hidden="1">
          <a:extLst>
            <a:ext uri="{FF2B5EF4-FFF2-40B4-BE49-F238E27FC236}">
              <a16:creationId xmlns:a16="http://schemas.microsoft.com/office/drawing/2014/main" id="{68633BBC-9641-4691-A5C3-C6AEA67E85E4}"/>
            </a:ext>
          </a:extLst>
        </xdr:cNvPr>
        <xdr:cNvSpPr/>
      </xdr:nvSpPr>
      <xdr:spPr bwMode="auto">
        <a:xfrm>
          <a:off x="9753600" y="569264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265</xdr:row>
      <xdr:rowOff>119379</xdr:rowOff>
    </xdr:from>
    <xdr:to>
      <xdr:col>14</xdr:col>
      <xdr:colOff>63500</xdr:colOff>
      <xdr:row>265</xdr:row>
      <xdr:rowOff>182879</xdr:rowOff>
    </xdr:to>
    <xdr:sp macro="" textlink="">
      <xdr:nvSpPr>
        <xdr:cNvPr id="1006" name="nuNumber: 1035" hidden="1">
          <a:extLst>
            <a:ext uri="{FF2B5EF4-FFF2-40B4-BE49-F238E27FC236}">
              <a16:creationId xmlns:a16="http://schemas.microsoft.com/office/drawing/2014/main" id="{8FB67FDB-13EE-40A8-A102-33C15529C174}"/>
            </a:ext>
          </a:extLst>
        </xdr:cNvPr>
        <xdr:cNvSpPr/>
      </xdr:nvSpPr>
      <xdr:spPr bwMode="auto">
        <a:xfrm>
          <a:off x="10515600" y="569264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265</xdr:row>
      <xdr:rowOff>119379</xdr:rowOff>
    </xdr:from>
    <xdr:to>
      <xdr:col>15</xdr:col>
      <xdr:colOff>63500</xdr:colOff>
      <xdr:row>265</xdr:row>
      <xdr:rowOff>182879</xdr:rowOff>
    </xdr:to>
    <xdr:sp macro="" textlink="">
      <xdr:nvSpPr>
        <xdr:cNvPr id="1007" name="nuNumber: 1036" hidden="1">
          <a:extLst>
            <a:ext uri="{FF2B5EF4-FFF2-40B4-BE49-F238E27FC236}">
              <a16:creationId xmlns:a16="http://schemas.microsoft.com/office/drawing/2014/main" id="{34C15CEB-7388-4A62-BA6D-B5528758915C}"/>
            </a:ext>
          </a:extLst>
        </xdr:cNvPr>
        <xdr:cNvSpPr/>
      </xdr:nvSpPr>
      <xdr:spPr bwMode="auto">
        <a:xfrm>
          <a:off x="11325225" y="569264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265</xdr:row>
      <xdr:rowOff>119379</xdr:rowOff>
    </xdr:from>
    <xdr:to>
      <xdr:col>16</xdr:col>
      <xdr:colOff>63500</xdr:colOff>
      <xdr:row>265</xdr:row>
      <xdr:rowOff>182879</xdr:rowOff>
    </xdr:to>
    <xdr:sp macro="" textlink="">
      <xdr:nvSpPr>
        <xdr:cNvPr id="1008" name="nuNumber: 1037" hidden="1">
          <a:extLst>
            <a:ext uri="{FF2B5EF4-FFF2-40B4-BE49-F238E27FC236}">
              <a16:creationId xmlns:a16="http://schemas.microsoft.com/office/drawing/2014/main" id="{A5F8AC3E-5A2E-428D-8D03-AAF2ECBD5287}"/>
            </a:ext>
          </a:extLst>
        </xdr:cNvPr>
        <xdr:cNvSpPr/>
      </xdr:nvSpPr>
      <xdr:spPr bwMode="auto">
        <a:xfrm>
          <a:off x="12106275" y="569264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265</xdr:row>
      <xdr:rowOff>119379</xdr:rowOff>
    </xdr:from>
    <xdr:to>
      <xdr:col>17</xdr:col>
      <xdr:colOff>63500</xdr:colOff>
      <xdr:row>265</xdr:row>
      <xdr:rowOff>182879</xdr:rowOff>
    </xdr:to>
    <xdr:sp macro="" textlink="">
      <xdr:nvSpPr>
        <xdr:cNvPr id="1009" name="nuNumber: 1038" hidden="1">
          <a:extLst>
            <a:ext uri="{FF2B5EF4-FFF2-40B4-BE49-F238E27FC236}">
              <a16:creationId xmlns:a16="http://schemas.microsoft.com/office/drawing/2014/main" id="{F0F46E46-3410-49D1-8E16-66F964D3E3FD}"/>
            </a:ext>
          </a:extLst>
        </xdr:cNvPr>
        <xdr:cNvSpPr/>
      </xdr:nvSpPr>
      <xdr:spPr bwMode="auto">
        <a:xfrm>
          <a:off x="12887325" y="569264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265</xdr:row>
      <xdr:rowOff>119379</xdr:rowOff>
    </xdr:from>
    <xdr:to>
      <xdr:col>18</xdr:col>
      <xdr:colOff>63499</xdr:colOff>
      <xdr:row>265</xdr:row>
      <xdr:rowOff>182879</xdr:rowOff>
    </xdr:to>
    <xdr:sp macro="" textlink="">
      <xdr:nvSpPr>
        <xdr:cNvPr id="1010" name="nuNumber: 1039" hidden="1">
          <a:extLst>
            <a:ext uri="{FF2B5EF4-FFF2-40B4-BE49-F238E27FC236}">
              <a16:creationId xmlns:a16="http://schemas.microsoft.com/office/drawing/2014/main" id="{04D4A659-F036-4701-89A6-0B54D6066464}"/>
            </a:ext>
          </a:extLst>
        </xdr:cNvPr>
        <xdr:cNvSpPr/>
      </xdr:nvSpPr>
      <xdr:spPr bwMode="auto">
        <a:xfrm>
          <a:off x="13624559" y="56926479"/>
          <a:ext cx="5969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265</xdr:row>
      <xdr:rowOff>119379</xdr:rowOff>
    </xdr:from>
    <xdr:to>
      <xdr:col>19</xdr:col>
      <xdr:colOff>63500</xdr:colOff>
      <xdr:row>265</xdr:row>
      <xdr:rowOff>182879</xdr:rowOff>
    </xdr:to>
    <xdr:sp macro="" textlink="">
      <xdr:nvSpPr>
        <xdr:cNvPr id="1011" name="nuNumber: 1040" hidden="1">
          <a:extLst>
            <a:ext uri="{FF2B5EF4-FFF2-40B4-BE49-F238E27FC236}">
              <a16:creationId xmlns:a16="http://schemas.microsoft.com/office/drawing/2014/main" id="{60116E73-B1E9-4FB3-BD7F-655266BF1BE6}"/>
            </a:ext>
          </a:extLst>
        </xdr:cNvPr>
        <xdr:cNvSpPr/>
      </xdr:nvSpPr>
      <xdr:spPr bwMode="auto">
        <a:xfrm>
          <a:off x="14382750" y="569264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265</xdr:row>
      <xdr:rowOff>119379</xdr:rowOff>
    </xdr:from>
    <xdr:to>
      <xdr:col>20</xdr:col>
      <xdr:colOff>63500</xdr:colOff>
      <xdr:row>265</xdr:row>
      <xdr:rowOff>182879</xdr:rowOff>
    </xdr:to>
    <xdr:sp macro="" textlink="">
      <xdr:nvSpPr>
        <xdr:cNvPr id="1012" name="nuNumber: 1041" hidden="1">
          <a:extLst>
            <a:ext uri="{FF2B5EF4-FFF2-40B4-BE49-F238E27FC236}">
              <a16:creationId xmlns:a16="http://schemas.microsoft.com/office/drawing/2014/main" id="{9DB89736-1142-49B1-B34E-26800E391886}"/>
            </a:ext>
          </a:extLst>
        </xdr:cNvPr>
        <xdr:cNvSpPr/>
      </xdr:nvSpPr>
      <xdr:spPr bwMode="auto">
        <a:xfrm>
          <a:off x="15135225" y="569264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265</xdr:row>
      <xdr:rowOff>119379</xdr:rowOff>
    </xdr:from>
    <xdr:to>
      <xdr:col>21</xdr:col>
      <xdr:colOff>63500</xdr:colOff>
      <xdr:row>265</xdr:row>
      <xdr:rowOff>182879</xdr:rowOff>
    </xdr:to>
    <xdr:sp macro="" textlink="">
      <xdr:nvSpPr>
        <xdr:cNvPr id="1013" name="nuNumber: 1042" hidden="1">
          <a:extLst>
            <a:ext uri="{FF2B5EF4-FFF2-40B4-BE49-F238E27FC236}">
              <a16:creationId xmlns:a16="http://schemas.microsoft.com/office/drawing/2014/main" id="{ED858B94-0312-4D73-A7CD-D0EB331844DE}"/>
            </a:ext>
          </a:extLst>
        </xdr:cNvPr>
        <xdr:cNvSpPr/>
      </xdr:nvSpPr>
      <xdr:spPr bwMode="auto">
        <a:xfrm>
          <a:off x="15849600" y="569264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265</xdr:row>
      <xdr:rowOff>119379</xdr:rowOff>
    </xdr:from>
    <xdr:to>
      <xdr:col>30</xdr:col>
      <xdr:colOff>63499</xdr:colOff>
      <xdr:row>265</xdr:row>
      <xdr:rowOff>182879</xdr:rowOff>
    </xdr:to>
    <xdr:sp macro="" textlink="">
      <xdr:nvSpPr>
        <xdr:cNvPr id="1014" name="nuNumber: 1043" hidden="1">
          <a:extLst>
            <a:ext uri="{FF2B5EF4-FFF2-40B4-BE49-F238E27FC236}">
              <a16:creationId xmlns:a16="http://schemas.microsoft.com/office/drawing/2014/main" id="{4E3C384E-D5BC-45B8-9440-C1A94E83F286}"/>
            </a:ext>
          </a:extLst>
        </xdr:cNvPr>
        <xdr:cNvSpPr/>
      </xdr:nvSpPr>
      <xdr:spPr bwMode="auto">
        <a:xfrm>
          <a:off x="22242779" y="56926479"/>
          <a:ext cx="61595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266</xdr:row>
      <xdr:rowOff>119381</xdr:rowOff>
    </xdr:from>
    <xdr:to>
      <xdr:col>30</xdr:col>
      <xdr:colOff>63499</xdr:colOff>
      <xdr:row>267</xdr:row>
      <xdr:rowOff>1</xdr:rowOff>
    </xdr:to>
    <xdr:sp macro="" textlink="">
      <xdr:nvSpPr>
        <xdr:cNvPr id="1015" name="nuNumber: 1044" hidden="1">
          <a:extLst>
            <a:ext uri="{FF2B5EF4-FFF2-40B4-BE49-F238E27FC236}">
              <a16:creationId xmlns:a16="http://schemas.microsoft.com/office/drawing/2014/main" id="{C17055A7-EDEA-4206-86CF-547CE6A47B6F}"/>
            </a:ext>
          </a:extLst>
        </xdr:cNvPr>
        <xdr:cNvSpPr/>
      </xdr:nvSpPr>
      <xdr:spPr bwMode="auto">
        <a:xfrm>
          <a:off x="22242779" y="57136031"/>
          <a:ext cx="61595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266</xdr:row>
      <xdr:rowOff>119381</xdr:rowOff>
    </xdr:from>
    <xdr:to>
      <xdr:col>31</xdr:col>
      <xdr:colOff>63500</xdr:colOff>
      <xdr:row>267</xdr:row>
      <xdr:rowOff>1</xdr:rowOff>
    </xdr:to>
    <xdr:sp macro="" textlink="">
      <xdr:nvSpPr>
        <xdr:cNvPr id="1016" name="nuNumber: 1045" hidden="1">
          <a:extLst>
            <a:ext uri="{FF2B5EF4-FFF2-40B4-BE49-F238E27FC236}">
              <a16:creationId xmlns:a16="http://schemas.microsoft.com/office/drawing/2014/main" id="{7CED75CE-9BCA-4DED-BC84-91A436956A64}"/>
            </a:ext>
          </a:extLst>
        </xdr:cNvPr>
        <xdr:cNvSpPr/>
      </xdr:nvSpPr>
      <xdr:spPr bwMode="auto">
        <a:xfrm>
          <a:off x="23383875" y="5713603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267</xdr:row>
      <xdr:rowOff>294640</xdr:rowOff>
    </xdr:from>
    <xdr:to>
      <xdr:col>30</xdr:col>
      <xdr:colOff>63499</xdr:colOff>
      <xdr:row>268</xdr:row>
      <xdr:rowOff>0</xdr:rowOff>
    </xdr:to>
    <xdr:sp macro="" textlink="">
      <xdr:nvSpPr>
        <xdr:cNvPr id="1017" name="nuNumber: 1046" hidden="1">
          <a:extLst>
            <a:ext uri="{FF2B5EF4-FFF2-40B4-BE49-F238E27FC236}">
              <a16:creationId xmlns:a16="http://schemas.microsoft.com/office/drawing/2014/main" id="{54B3796B-AC68-438A-8219-4073282AA518}"/>
            </a:ext>
          </a:extLst>
        </xdr:cNvPr>
        <xdr:cNvSpPr/>
      </xdr:nvSpPr>
      <xdr:spPr bwMode="auto">
        <a:xfrm>
          <a:off x="22242779" y="57520840"/>
          <a:ext cx="61595" cy="12446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267</xdr:row>
      <xdr:rowOff>294640</xdr:rowOff>
    </xdr:from>
    <xdr:to>
      <xdr:col>31</xdr:col>
      <xdr:colOff>63500</xdr:colOff>
      <xdr:row>268</xdr:row>
      <xdr:rowOff>0</xdr:rowOff>
    </xdr:to>
    <xdr:sp macro="" textlink="">
      <xdr:nvSpPr>
        <xdr:cNvPr id="1018" name="nuNumber: 1047" hidden="1">
          <a:extLst>
            <a:ext uri="{FF2B5EF4-FFF2-40B4-BE49-F238E27FC236}">
              <a16:creationId xmlns:a16="http://schemas.microsoft.com/office/drawing/2014/main" id="{FEC4A6FB-2799-42A9-9F70-8237AFF0E2E4}"/>
            </a:ext>
          </a:extLst>
        </xdr:cNvPr>
        <xdr:cNvSpPr/>
      </xdr:nvSpPr>
      <xdr:spPr bwMode="auto">
        <a:xfrm>
          <a:off x="23383875" y="57520840"/>
          <a:ext cx="63500" cy="12446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286</xdr:row>
      <xdr:rowOff>119379</xdr:rowOff>
    </xdr:from>
    <xdr:to>
      <xdr:col>8</xdr:col>
      <xdr:colOff>63500</xdr:colOff>
      <xdr:row>286</xdr:row>
      <xdr:rowOff>182879</xdr:rowOff>
    </xdr:to>
    <xdr:sp macro="" textlink="">
      <xdr:nvSpPr>
        <xdr:cNvPr id="1019" name="nuNumber: 1048" hidden="1">
          <a:extLst>
            <a:ext uri="{FF2B5EF4-FFF2-40B4-BE49-F238E27FC236}">
              <a16:creationId xmlns:a16="http://schemas.microsoft.com/office/drawing/2014/main" id="{39BE4DDF-8763-4BFE-8F49-1A582482C4E6}"/>
            </a:ext>
          </a:extLst>
        </xdr:cNvPr>
        <xdr:cNvSpPr/>
      </xdr:nvSpPr>
      <xdr:spPr bwMode="auto">
        <a:xfrm>
          <a:off x="5562600" y="61765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286</xdr:row>
      <xdr:rowOff>119379</xdr:rowOff>
    </xdr:from>
    <xdr:to>
      <xdr:col>9</xdr:col>
      <xdr:colOff>63500</xdr:colOff>
      <xdr:row>286</xdr:row>
      <xdr:rowOff>182879</xdr:rowOff>
    </xdr:to>
    <xdr:sp macro="" textlink="">
      <xdr:nvSpPr>
        <xdr:cNvPr id="1020" name="nuNumber: 1049" hidden="1">
          <a:extLst>
            <a:ext uri="{FF2B5EF4-FFF2-40B4-BE49-F238E27FC236}">
              <a16:creationId xmlns:a16="http://schemas.microsoft.com/office/drawing/2014/main" id="{4437F639-3659-4CD9-9DB8-65F837A134EB}"/>
            </a:ext>
          </a:extLst>
        </xdr:cNvPr>
        <xdr:cNvSpPr/>
      </xdr:nvSpPr>
      <xdr:spPr bwMode="auto">
        <a:xfrm>
          <a:off x="6467475" y="61765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286</xdr:row>
      <xdr:rowOff>119379</xdr:rowOff>
    </xdr:from>
    <xdr:to>
      <xdr:col>9</xdr:col>
      <xdr:colOff>63500</xdr:colOff>
      <xdr:row>286</xdr:row>
      <xdr:rowOff>182879</xdr:rowOff>
    </xdr:to>
    <xdr:sp macro="" textlink="">
      <xdr:nvSpPr>
        <xdr:cNvPr id="1021" name="nuNumber: 1050" hidden="1">
          <a:extLst>
            <a:ext uri="{FF2B5EF4-FFF2-40B4-BE49-F238E27FC236}">
              <a16:creationId xmlns:a16="http://schemas.microsoft.com/office/drawing/2014/main" id="{BDE9318B-D17A-4D88-9E5D-0A59DB2E9355}"/>
            </a:ext>
          </a:extLst>
        </xdr:cNvPr>
        <xdr:cNvSpPr/>
      </xdr:nvSpPr>
      <xdr:spPr bwMode="auto">
        <a:xfrm>
          <a:off x="6467475" y="61765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286</xdr:row>
      <xdr:rowOff>119379</xdr:rowOff>
    </xdr:from>
    <xdr:to>
      <xdr:col>10</xdr:col>
      <xdr:colOff>63500</xdr:colOff>
      <xdr:row>286</xdr:row>
      <xdr:rowOff>182879</xdr:rowOff>
    </xdr:to>
    <xdr:sp macro="" textlink="">
      <xdr:nvSpPr>
        <xdr:cNvPr id="1022" name="nuNumber: 1051" hidden="1">
          <a:extLst>
            <a:ext uri="{FF2B5EF4-FFF2-40B4-BE49-F238E27FC236}">
              <a16:creationId xmlns:a16="http://schemas.microsoft.com/office/drawing/2014/main" id="{F2088806-19F7-49DB-9CDD-8ED7BBDB5082}"/>
            </a:ext>
          </a:extLst>
        </xdr:cNvPr>
        <xdr:cNvSpPr/>
      </xdr:nvSpPr>
      <xdr:spPr bwMode="auto">
        <a:xfrm>
          <a:off x="7315200" y="61765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286</xdr:row>
      <xdr:rowOff>119379</xdr:rowOff>
    </xdr:from>
    <xdr:to>
      <xdr:col>11</xdr:col>
      <xdr:colOff>63500</xdr:colOff>
      <xdr:row>286</xdr:row>
      <xdr:rowOff>182879</xdr:rowOff>
    </xdr:to>
    <xdr:sp macro="" textlink="">
      <xdr:nvSpPr>
        <xdr:cNvPr id="1023" name="nuNumber: 1052" hidden="1">
          <a:extLst>
            <a:ext uri="{FF2B5EF4-FFF2-40B4-BE49-F238E27FC236}">
              <a16:creationId xmlns:a16="http://schemas.microsoft.com/office/drawing/2014/main" id="{490FDCAE-5D6B-48CD-A7E1-09D5955F5DE1}"/>
            </a:ext>
          </a:extLst>
        </xdr:cNvPr>
        <xdr:cNvSpPr/>
      </xdr:nvSpPr>
      <xdr:spPr bwMode="auto">
        <a:xfrm>
          <a:off x="8105775" y="61765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286</xdr:row>
      <xdr:rowOff>119379</xdr:rowOff>
    </xdr:from>
    <xdr:to>
      <xdr:col>12</xdr:col>
      <xdr:colOff>63500</xdr:colOff>
      <xdr:row>286</xdr:row>
      <xdr:rowOff>182879</xdr:rowOff>
    </xdr:to>
    <xdr:sp macro="" textlink="">
      <xdr:nvSpPr>
        <xdr:cNvPr id="1024" name="nuNumber: 1053" hidden="1">
          <a:extLst>
            <a:ext uri="{FF2B5EF4-FFF2-40B4-BE49-F238E27FC236}">
              <a16:creationId xmlns:a16="http://schemas.microsoft.com/office/drawing/2014/main" id="{3CE5C762-7221-4690-BDCC-5669443DF160}"/>
            </a:ext>
          </a:extLst>
        </xdr:cNvPr>
        <xdr:cNvSpPr/>
      </xdr:nvSpPr>
      <xdr:spPr bwMode="auto">
        <a:xfrm>
          <a:off x="8972550" y="61765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286</xdr:row>
      <xdr:rowOff>119379</xdr:rowOff>
    </xdr:from>
    <xdr:to>
      <xdr:col>13</xdr:col>
      <xdr:colOff>63500</xdr:colOff>
      <xdr:row>286</xdr:row>
      <xdr:rowOff>182879</xdr:rowOff>
    </xdr:to>
    <xdr:sp macro="" textlink="">
      <xdr:nvSpPr>
        <xdr:cNvPr id="1025" name="nuNumber: 1054" hidden="1">
          <a:extLst>
            <a:ext uri="{FF2B5EF4-FFF2-40B4-BE49-F238E27FC236}">
              <a16:creationId xmlns:a16="http://schemas.microsoft.com/office/drawing/2014/main" id="{04A758D9-E7BF-4B6B-93EC-4E581FA646C2}"/>
            </a:ext>
          </a:extLst>
        </xdr:cNvPr>
        <xdr:cNvSpPr/>
      </xdr:nvSpPr>
      <xdr:spPr bwMode="auto">
        <a:xfrm>
          <a:off x="9753600" y="61765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286</xdr:row>
      <xdr:rowOff>119379</xdr:rowOff>
    </xdr:from>
    <xdr:to>
      <xdr:col>14</xdr:col>
      <xdr:colOff>63500</xdr:colOff>
      <xdr:row>286</xdr:row>
      <xdr:rowOff>182879</xdr:rowOff>
    </xdr:to>
    <xdr:sp macro="" textlink="">
      <xdr:nvSpPr>
        <xdr:cNvPr id="1026" name="nuNumber: 1055" hidden="1">
          <a:extLst>
            <a:ext uri="{FF2B5EF4-FFF2-40B4-BE49-F238E27FC236}">
              <a16:creationId xmlns:a16="http://schemas.microsoft.com/office/drawing/2014/main" id="{00F11949-73AA-415A-9247-E3F1DF608217}"/>
            </a:ext>
          </a:extLst>
        </xdr:cNvPr>
        <xdr:cNvSpPr/>
      </xdr:nvSpPr>
      <xdr:spPr bwMode="auto">
        <a:xfrm>
          <a:off x="10515600" y="61765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286</xdr:row>
      <xdr:rowOff>119379</xdr:rowOff>
    </xdr:from>
    <xdr:to>
      <xdr:col>15</xdr:col>
      <xdr:colOff>63500</xdr:colOff>
      <xdr:row>286</xdr:row>
      <xdr:rowOff>182879</xdr:rowOff>
    </xdr:to>
    <xdr:sp macro="" textlink="">
      <xdr:nvSpPr>
        <xdr:cNvPr id="1027" name="nuNumber: 1056" hidden="1">
          <a:extLst>
            <a:ext uri="{FF2B5EF4-FFF2-40B4-BE49-F238E27FC236}">
              <a16:creationId xmlns:a16="http://schemas.microsoft.com/office/drawing/2014/main" id="{554987E4-039D-42F1-B972-025AB7D29FF7}"/>
            </a:ext>
          </a:extLst>
        </xdr:cNvPr>
        <xdr:cNvSpPr/>
      </xdr:nvSpPr>
      <xdr:spPr bwMode="auto">
        <a:xfrm>
          <a:off x="11325225" y="61765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286</xdr:row>
      <xdr:rowOff>119379</xdr:rowOff>
    </xdr:from>
    <xdr:to>
      <xdr:col>16</xdr:col>
      <xdr:colOff>63500</xdr:colOff>
      <xdr:row>286</xdr:row>
      <xdr:rowOff>182879</xdr:rowOff>
    </xdr:to>
    <xdr:sp macro="" textlink="">
      <xdr:nvSpPr>
        <xdr:cNvPr id="1028" name="nuNumber: 1057" hidden="1">
          <a:extLst>
            <a:ext uri="{FF2B5EF4-FFF2-40B4-BE49-F238E27FC236}">
              <a16:creationId xmlns:a16="http://schemas.microsoft.com/office/drawing/2014/main" id="{453134C7-1444-4055-890C-178F0164322A}"/>
            </a:ext>
          </a:extLst>
        </xdr:cNvPr>
        <xdr:cNvSpPr/>
      </xdr:nvSpPr>
      <xdr:spPr bwMode="auto">
        <a:xfrm>
          <a:off x="12106275" y="61765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286</xdr:row>
      <xdr:rowOff>119379</xdr:rowOff>
    </xdr:from>
    <xdr:to>
      <xdr:col>17</xdr:col>
      <xdr:colOff>63500</xdr:colOff>
      <xdr:row>286</xdr:row>
      <xdr:rowOff>182879</xdr:rowOff>
    </xdr:to>
    <xdr:sp macro="" textlink="">
      <xdr:nvSpPr>
        <xdr:cNvPr id="1029" name="nuNumber: 1058" hidden="1">
          <a:extLst>
            <a:ext uri="{FF2B5EF4-FFF2-40B4-BE49-F238E27FC236}">
              <a16:creationId xmlns:a16="http://schemas.microsoft.com/office/drawing/2014/main" id="{9C78CA0F-B2E7-4BAB-9E7E-B496B3ECF600}"/>
            </a:ext>
          </a:extLst>
        </xdr:cNvPr>
        <xdr:cNvSpPr/>
      </xdr:nvSpPr>
      <xdr:spPr bwMode="auto">
        <a:xfrm>
          <a:off x="12887325" y="61765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286</xdr:row>
      <xdr:rowOff>119379</xdr:rowOff>
    </xdr:from>
    <xdr:to>
      <xdr:col>18</xdr:col>
      <xdr:colOff>63499</xdr:colOff>
      <xdr:row>286</xdr:row>
      <xdr:rowOff>182879</xdr:rowOff>
    </xdr:to>
    <xdr:sp macro="" textlink="">
      <xdr:nvSpPr>
        <xdr:cNvPr id="1030" name="nuNumber: 1059" hidden="1">
          <a:extLst>
            <a:ext uri="{FF2B5EF4-FFF2-40B4-BE49-F238E27FC236}">
              <a16:creationId xmlns:a16="http://schemas.microsoft.com/office/drawing/2014/main" id="{38A90F45-216E-4489-BC88-11A9C9000291}"/>
            </a:ext>
          </a:extLst>
        </xdr:cNvPr>
        <xdr:cNvSpPr/>
      </xdr:nvSpPr>
      <xdr:spPr bwMode="auto">
        <a:xfrm>
          <a:off x="13624559" y="61765179"/>
          <a:ext cx="5969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286</xdr:row>
      <xdr:rowOff>119379</xdr:rowOff>
    </xdr:from>
    <xdr:to>
      <xdr:col>19</xdr:col>
      <xdr:colOff>63500</xdr:colOff>
      <xdr:row>286</xdr:row>
      <xdr:rowOff>182879</xdr:rowOff>
    </xdr:to>
    <xdr:sp macro="" textlink="">
      <xdr:nvSpPr>
        <xdr:cNvPr id="1031" name="nuNumber: 1060" hidden="1">
          <a:extLst>
            <a:ext uri="{FF2B5EF4-FFF2-40B4-BE49-F238E27FC236}">
              <a16:creationId xmlns:a16="http://schemas.microsoft.com/office/drawing/2014/main" id="{EA25A701-863D-46DB-AC31-216E40130541}"/>
            </a:ext>
          </a:extLst>
        </xdr:cNvPr>
        <xdr:cNvSpPr/>
      </xdr:nvSpPr>
      <xdr:spPr bwMode="auto">
        <a:xfrm>
          <a:off x="14382750" y="61765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286</xdr:row>
      <xdr:rowOff>119379</xdr:rowOff>
    </xdr:from>
    <xdr:to>
      <xdr:col>20</xdr:col>
      <xdr:colOff>63500</xdr:colOff>
      <xdr:row>286</xdr:row>
      <xdr:rowOff>182879</xdr:rowOff>
    </xdr:to>
    <xdr:sp macro="" textlink="">
      <xdr:nvSpPr>
        <xdr:cNvPr id="1032" name="nuNumber: 1061" hidden="1">
          <a:extLst>
            <a:ext uri="{FF2B5EF4-FFF2-40B4-BE49-F238E27FC236}">
              <a16:creationId xmlns:a16="http://schemas.microsoft.com/office/drawing/2014/main" id="{D5A09582-7657-40FB-B596-F7041274DD82}"/>
            </a:ext>
          </a:extLst>
        </xdr:cNvPr>
        <xdr:cNvSpPr/>
      </xdr:nvSpPr>
      <xdr:spPr bwMode="auto">
        <a:xfrm>
          <a:off x="15135225" y="61765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286</xdr:row>
      <xdr:rowOff>119379</xdr:rowOff>
    </xdr:from>
    <xdr:to>
      <xdr:col>21</xdr:col>
      <xdr:colOff>63500</xdr:colOff>
      <xdr:row>286</xdr:row>
      <xdr:rowOff>182879</xdr:rowOff>
    </xdr:to>
    <xdr:sp macro="" textlink="">
      <xdr:nvSpPr>
        <xdr:cNvPr id="1033" name="nuNumber: 1062" hidden="1">
          <a:extLst>
            <a:ext uri="{FF2B5EF4-FFF2-40B4-BE49-F238E27FC236}">
              <a16:creationId xmlns:a16="http://schemas.microsoft.com/office/drawing/2014/main" id="{10E7DC85-BBEC-4A85-B224-8D355CB58800}"/>
            </a:ext>
          </a:extLst>
        </xdr:cNvPr>
        <xdr:cNvSpPr/>
      </xdr:nvSpPr>
      <xdr:spPr bwMode="auto">
        <a:xfrm>
          <a:off x="15849600" y="61765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286</xdr:row>
      <xdr:rowOff>119379</xdr:rowOff>
    </xdr:from>
    <xdr:to>
      <xdr:col>30</xdr:col>
      <xdr:colOff>63499</xdr:colOff>
      <xdr:row>286</xdr:row>
      <xdr:rowOff>182879</xdr:rowOff>
    </xdr:to>
    <xdr:sp macro="" textlink="">
      <xdr:nvSpPr>
        <xdr:cNvPr id="1034" name="nuNumber: 1063" hidden="1">
          <a:extLst>
            <a:ext uri="{FF2B5EF4-FFF2-40B4-BE49-F238E27FC236}">
              <a16:creationId xmlns:a16="http://schemas.microsoft.com/office/drawing/2014/main" id="{49CB8D84-BDE4-40F7-9235-9AB9E5BC8388}"/>
            </a:ext>
          </a:extLst>
        </xdr:cNvPr>
        <xdr:cNvSpPr/>
      </xdr:nvSpPr>
      <xdr:spPr bwMode="auto">
        <a:xfrm>
          <a:off x="22242779" y="61765179"/>
          <a:ext cx="61595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286</xdr:row>
      <xdr:rowOff>119379</xdr:rowOff>
    </xdr:from>
    <xdr:to>
      <xdr:col>31</xdr:col>
      <xdr:colOff>63500</xdr:colOff>
      <xdr:row>286</xdr:row>
      <xdr:rowOff>182879</xdr:rowOff>
    </xdr:to>
    <xdr:sp macro="" textlink="">
      <xdr:nvSpPr>
        <xdr:cNvPr id="1035" name="nuNumber: 1064" hidden="1">
          <a:extLst>
            <a:ext uri="{FF2B5EF4-FFF2-40B4-BE49-F238E27FC236}">
              <a16:creationId xmlns:a16="http://schemas.microsoft.com/office/drawing/2014/main" id="{BFA9D248-BC33-41A3-A650-D697047A0C05}"/>
            </a:ext>
          </a:extLst>
        </xdr:cNvPr>
        <xdr:cNvSpPr/>
      </xdr:nvSpPr>
      <xdr:spPr bwMode="auto">
        <a:xfrm>
          <a:off x="23383875" y="617651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287</xdr:row>
      <xdr:rowOff>119378</xdr:rowOff>
    </xdr:from>
    <xdr:to>
      <xdr:col>8</xdr:col>
      <xdr:colOff>63500</xdr:colOff>
      <xdr:row>287</xdr:row>
      <xdr:rowOff>182878</xdr:rowOff>
    </xdr:to>
    <xdr:sp macro="" textlink="">
      <xdr:nvSpPr>
        <xdr:cNvPr id="1036" name="nuNumber: 1065" hidden="1">
          <a:extLst>
            <a:ext uri="{FF2B5EF4-FFF2-40B4-BE49-F238E27FC236}">
              <a16:creationId xmlns:a16="http://schemas.microsoft.com/office/drawing/2014/main" id="{58F26727-93CB-48A6-9462-DBDE9D144065}"/>
            </a:ext>
          </a:extLst>
        </xdr:cNvPr>
        <xdr:cNvSpPr/>
      </xdr:nvSpPr>
      <xdr:spPr bwMode="auto">
        <a:xfrm>
          <a:off x="5562600" y="619747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287</xdr:row>
      <xdr:rowOff>119378</xdr:rowOff>
    </xdr:from>
    <xdr:to>
      <xdr:col>9</xdr:col>
      <xdr:colOff>63500</xdr:colOff>
      <xdr:row>287</xdr:row>
      <xdr:rowOff>182878</xdr:rowOff>
    </xdr:to>
    <xdr:sp macro="" textlink="">
      <xdr:nvSpPr>
        <xdr:cNvPr id="1037" name="nuNumber: 1066" hidden="1">
          <a:extLst>
            <a:ext uri="{FF2B5EF4-FFF2-40B4-BE49-F238E27FC236}">
              <a16:creationId xmlns:a16="http://schemas.microsoft.com/office/drawing/2014/main" id="{FCB2B168-AD82-4F1A-BF58-3A1A8DC72CA4}"/>
            </a:ext>
          </a:extLst>
        </xdr:cNvPr>
        <xdr:cNvSpPr/>
      </xdr:nvSpPr>
      <xdr:spPr bwMode="auto">
        <a:xfrm>
          <a:off x="6467475" y="619747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287</xdr:row>
      <xdr:rowOff>119378</xdr:rowOff>
    </xdr:from>
    <xdr:to>
      <xdr:col>9</xdr:col>
      <xdr:colOff>63500</xdr:colOff>
      <xdr:row>287</xdr:row>
      <xdr:rowOff>182878</xdr:rowOff>
    </xdr:to>
    <xdr:sp macro="" textlink="">
      <xdr:nvSpPr>
        <xdr:cNvPr id="1038" name="nuNumber: 1067" hidden="1">
          <a:extLst>
            <a:ext uri="{FF2B5EF4-FFF2-40B4-BE49-F238E27FC236}">
              <a16:creationId xmlns:a16="http://schemas.microsoft.com/office/drawing/2014/main" id="{629E96CA-79A0-4146-B208-1AA5FCE3FA9F}"/>
            </a:ext>
          </a:extLst>
        </xdr:cNvPr>
        <xdr:cNvSpPr/>
      </xdr:nvSpPr>
      <xdr:spPr bwMode="auto">
        <a:xfrm>
          <a:off x="6467475" y="619747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287</xdr:row>
      <xdr:rowOff>119378</xdr:rowOff>
    </xdr:from>
    <xdr:to>
      <xdr:col>10</xdr:col>
      <xdr:colOff>63500</xdr:colOff>
      <xdr:row>287</xdr:row>
      <xdr:rowOff>182878</xdr:rowOff>
    </xdr:to>
    <xdr:sp macro="" textlink="">
      <xdr:nvSpPr>
        <xdr:cNvPr id="1039" name="nuNumber: 1068" hidden="1">
          <a:extLst>
            <a:ext uri="{FF2B5EF4-FFF2-40B4-BE49-F238E27FC236}">
              <a16:creationId xmlns:a16="http://schemas.microsoft.com/office/drawing/2014/main" id="{A09AA3E4-CF29-4333-AECF-635BFF14ADEE}"/>
            </a:ext>
          </a:extLst>
        </xdr:cNvPr>
        <xdr:cNvSpPr/>
      </xdr:nvSpPr>
      <xdr:spPr bwMode="auto">
        <a:xfrm>
          <a:off x="7315200" y="619747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287</xdr:row>
      <xdr:rowOff>119378</xdr:rowOff>
    </xdr:from>
    <xdr:to>
      <xdr:col>11</xdr:col>
      <xdr:colOff>63500</xdr:colOff>
      <xdr:row>287</xdr:row>
      <xdr:rowOff>182878</xdr:rowOff>
    </xdr:to>
    <xdr:sp macro="" textlink="">
      <xdr:nvSpPr>
        <xdr:cNvPr id="1040" name="nuNumber: 1069" hidden="1">
          <a:extLst>
            <a:ext uri="{FF2B5EF4-FFF2-40B4-BE49-F238E27FC236}">
              <a16:creationId xmlns:a16="http://schemas.microsoft.com/office/drawing/2014/main" id="{0488FE91-1BEC-4061-9F9C-29191F4F5576}"/>
            </a:ext>
          </a:extLst>
        </xdr:cNvPr>
        <xdr:cNvSpPr/>
      </xdr:nvSpPr>
      <xdr:spPr bwMode="auto">
        <a:xfrm>
          <a:off x="8105775" y="619747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287</xdr:row>
      <xdr:rowOff>119378</xdr:rowOff>
    </xdr:from>
    <xdr:to>
      <xdr:col>12</xdr:col>
      <xdr:colOff>63500</xdr:colOff>
      <xdr:row>287</xdr:row>
      <xdr:rowOff>182878</xdr:rowOff>
    </xdr:to>
    <xdr:sp macro="" textlink="">
      <xdr:nvSpPr>
        <xdr:cNvPr id="1041" name="nuNumber: 1070" hidden="1">
          <a:extLst>
            <a:ext uri="{FF2B5EF4-FFF2-40B4-BE49-F238E27FC236}">
              <a16:creationId xmlns:a16="http://schemas.microsoft.com/office/drawing/2014/main" id="{44FBB2BD-7E21-4B51-AB32-304DB81CB50B}"/>
            </a:ext>
          </a:extLst>
        </xdr:cNvPr>
        <xdr:cNvSpPr/>
      </xdr:nvSpPr>
      <xdr:spPr bwMode="auto">
        <a:xfrm>
          <a:off x="8972550" y="619747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287</xdr:row>
      <xdr:rowOff>119378</xdr:rowOff>
    </xdr:from>
    <xdr:to>
      <xdr:col>13</xdr:col>
      <xdr:colOff>63500</xdr:colOff>
      <xdr:row>287</xdr:row>
      <xdr:rowOff>182878</xdr:rowOff>
    </xdr:to>
    <xdr:sp macro="" textlink="">
      <xdr:nvSpPr>
        <xdr:cNvPr id="1042" name="nuNumber: 1071" hidden="1">
          <a:extLst>
            <a:ext uri="{FF2B5EF4-FFF2-40B4-BE49-F238E27FC236}">
              <a16:creationId xmlns:a16="http://schemas.microsoft.com/office/drawing/2014/main" id="{71C72A61-EB2C-4AF2-B4A6-61424C60518E}"/>
            </a:ext>
          </a:extLst>
        </xdr:cNvPr>
        <xdr:cNvSpPr/>
      </xdr:nvSpPr>
      <xdr:spPr bwMode="auto">
        <a:xfrm>
          <a:off x="9753600" y="619747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287</xdr:row>
      <xdr:rowOff>119378</xdr:rowOff>
    </xdr:from>
    <xdr:to>
      <xdr:col>14</xdr:col>
      <xdr:colOff>63500</xdr:colOff>
      <xdr:row>287</xdr:row>
      <xdr:rowOff>182878</xdr:rowOff>
    </xdr:to>
    <xdr:sp macro="" textlink="">
      <xdr:nvSpPr>
        <xdr:cNvPr id="1043" name="nuNumber: 1072" hidden="1">
          <a:extLst>
            <a:ext uri="{FF2B5EF4-FFF2-40B4-BE49-F238E27FC236}">
              <a16:creationId xmlns:a16="http://schemas.microsoft.com/office/drawing/2014/main" id="{9B0F1FBE-43C5-42E1-8509-58618F436274}"/>
            </a:ext>
          </a:extLst>
        </xdr:cNvPr>
        <xdr:cNvSpPr/>
      </xdr:nvSpPr>
      <xdr:spPr bwMode="auto">
        <a:xfrm>
          <a:off x="10515600" y="619747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287</xdr:row>
      <xdr:rowOff>119378</xdr:rowOff>
    </xdr:from>
    <xdr:to>
      <xdr:col>15</xdr:col>
      <xdr:colOff>63500</xdr:colOff>
      <xdr:row>287</xdr:row>
      <xdr:rowOff>182878</xdr:rowOff>
    </xdr:to>
    <xdr:sp macro="" textlink="">
      <xdr:nvSpPr>
        <xdr:cNvPr id="1044" name="nuNumber: 1073" hidden="1">
          <a:extLst>
            <a:ext uri="{FF2B5EF4-FFF2-40B4-BE49-F238E27FC236}">
              <a16:creationId xmlns:a16="http://schemas.microsoft.com/office/drawing/2014/main" id="{90F414C0-87F0-414C-98AE-566893924CFF}"/>
            </a:ext>
          </a:extLst>
        </xdr:cNvPr>
        <xdr:cNvSpPr/>
      </xdr:nvSpPr>
      <xdr:spPr bwMode="auto">
        <a:xfrm>
          <a:off x="11325225" y="619747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287</xdr:row>
      <xdr:rowOff>119378</xdr:rowOff>
    </xdr:from>
    <xdr:to>
      <xdr:col>16</xdr:col>
      <xdr:colOff>63500</xdr:colOff>
      <xdr:row>287</xdr:row>
      <xdr:rowOff>182878</xdr:rowOff>
    </xdr:to>
    <xdr:sp macro="" textlink="">
      <xdr:nvSpPr>
        <xdr:cNvPr id="1045" name="nuNumber: 1074" hidden="1">
          <a:extLst>
            <a:ext uri="{FF2B5EF4-FFF2-40B4-BE49-F238E27FC236}">
              <a16:creationId xmlns:a16="http://schemas.microsoft.com/office/drawing/2014/main" id="{60AD4188-CB6B-46F2-801D-D1761E13ECA8}"/>
            </a:ext>
          </a:extLst>
        </xdr:cNvPr>
        <xdr:cNvSpPr/>
      </xdr:nvSpPr>
      <xdr:spPr bwMode="auto">
        <a:xfrm>
          <a:off x="12106275" y="619747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287</xdr:row>
      <xdr:rowOff>119378</xdr:rowOff>
    </xdr:from>
    <xdr:to>
      <xdr:col>17</xdr:col>
      <xdr:colOff>63500</xdr:colOff>
      <xdr:row>287</xdr:row>
      <xdr:rowOff>182878</xdr:rowOff>
    </xdr:to>
    <xdr:sp macro="" textlink="">
      <xdr:nvSpPr>
        <xdr:cNvPr id="1046" name="nuNumber: 1075" hidden="1">
          <a:extLst>
            <a:ext uri="{FF2B5EF4-FFF2-40B4-BE49-F238E27FC236}">
              <a16:creationId xmlns:a16="http://schemas.microsoft.com/office/drawing/2014/main" id="{353BC08F-9C46-4D41-9FA7-94E09134E100}"/>
            </a:ext>
          </a:extLst>
        </xdr:cNvPr>
        <xdr:cNvSpPr/>
      </xdr:nvSpPr>
      <xdr:spPr bwMode="auto">
        <a:xfrm>
          <a:off x="12887325" y="619747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287</xdr:row>
      <xdr:rowOff>119378</xdr:rowOff>
    </xdr:from>
    <xdr:to>
      <xdr:col>18</xdr:col>
      <xdr:colOff>63499</xdr:colOff>
      <xdr:row>287</xdr:row>
      <xdr:rowOff>182878</xdr:rowOff>
    </xdr:to>
    <xdr:sp macro="" textlink="">
      <xdr:nvSpPr>
        <xdr:cNvPr id="1047" name="nuNumber: 1076" hidden="1">
          <a:extLst>
            <a:ext uri="{FF2B5EF4-FFF2-40B4-BE49-F238E27FC236}">
              <a16:creationId xmlns:a16="http://schemas.microsoft.com/office/drawing/2014/main" id="{5BBA49B8-4DE4-46EF-89A0-5C8413509367}"/>
            </a:ext>
          </a:extLst>
        </xdr:cNvPr>
        <xdr:cNvSpPr/>
      </xdr:nvSpPr>
      <xdr:spPr bwMode="auto">
        <a:xfrm>
          <a:off x="13624559" y="61974728"/>
          <a:ext cx="5969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287</xdr:row>
      <xdr:rowOff>119378</xdr:rowOff>
    </xdr:from>
    <xdr:to>
      <xdr:col>19</xdr:col>
      <xdr:colOff>63500</xdr:colOff>
      <xdr:row>287</xdr:row>
      <xdr:rowOff>182878</xdr:rowOff>
    </xdr:to>
    <xdr:sp macro="" textlink="">
      <xdr:nvSpPr>
        <xdr:cNvPr id="1048" name="nuNumber: 1077" hidden="1">
          <a:extLst>
            <a:ext uri="{FF2B5EF4-FFF2-40B4-BE49-F238E27FC236}">
              <a16:creationId xmlns:a16="http://schemas.microsoft.com/office/drawing/2014/main" id="{2F07AB7B-E6EE-40B0-8B01-0276FE6CC901}"/>
            </a:ext>
          </a:extLst>
        </xdr:cNvPr>
        <xdr:cNvSpPr/>
      </xdr:nvSpPr>
      <xdr:spPr bwMode="auto">
        <a:xfrm>
          <a:off x="14382750" y="619747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287</xdr:row>
      <xdr:rowOff>119378</xdr:rowOff>
    </xdr:from>
    <xdr:to>
      <xdr:col>20</xdr:col>
      <xdr:colOff>63500</xdr:colOff>
      <xdr:row>287</xdr:row>
      <xdr:rowOff>182878</xdr:rowOff>
    </xdr:to>
    <xdr:sp macro="" textlink="">
      <xdr:nvSpPr>
        <xdr:cNvPr id="1049" name="nuNumber: 1078" hidden="1">
          <a:extLst>
            <a:ext uri="{FF2B5EF4-FFF2-40B4-BE49-F238E27FC236}">
              <a16:creationId xmlns:a16="http://schemas.microsoft.com/office/drawing/2014/main" id="{3361E052-E8BC-43F9-8FC2-26D30C4ACB8E}"/>
            </a:ext>
          </a:extLst>
        </xdr:cNvPr>
        <xdr:cNvSpPr/>
      </xdr:nvSpPr>
      <xdr:spPr bwMode="auto">
        <a:xfrm>
          <a:off x="15135225" y="619747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287</xdr:row>
      <xdr:rowOff>119378</xdr:rowOff>
    </xdr:from>
    <xdr:to>
      <xdr:col>21</xdr:col>
      <xdr:colOff>63500</xdr:colOff>
      <xdr:row>287</xdr:row>
      <xdr:rowOff>182878</xdr:rowOff>
    </xdr:to>
    <xdr:sp macro="" textlink="">
      <xdr:nvSpPr>
        <xdr:cNvPr id="1050" name="nuNumber: 1079" hidden="1">
          <a:extLst>
            <a:ext uri="{FF2B5EF4-FFF2-40B4-BE49-F238E27FC236}">
              <a16:creationId xmlns:a16="http://schemas.microsoft.com/office/drawing/2014/main" id="{D9E4BBCB-4F67-40C9-AA5C-6DDD2C3B70D4}"/>
            </a:ext>
          </a:extLst>
        </xdr:cNvPr>
        <xdr:cNvSpPr/>
      </xdr:nvSpPr>
      <xdr:spPr bwMode="auto">
        <a:xfrm>
          <a:off x="15849600" y="619747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287</xdr:row>
      <xdr:rowOff>119378</xdr:rowOff>
    </xdr:from>
    <xdr:to>
      <xdr:col>30</xdr:col>
      <xdr:colOff>63499</xdr:colOff>
      <xdr:row>287</xdr:row>
      <xdr:rowOff>182878</xdr:rowOff>
    </xdr:to>
    <xdr:sp macro="" textlink="">
      <xdr:nvSpPr>
        <xdr:cNvPr id="1051" name="nuNumber: 1080" hidden="1">
          <a:extLst>
            <a:ext uri="{FF2B5EF4-FFF2-40B4-BE49-F238E27FC236}">
              <a16:creationId xmlns:a16="http://schemas.microsoft.com/office/drawing/2014/main" id="{42F8416A-001B-4BED-9332-C5E333D7AF42}"/>
            </a:ext>
          </a:extLst>
        </xdr:cNvPr>
        <xdr:cNvSpPr/>
      </xdr:nvSpPr>
      <xdr:spPr bwMode="auto">
        <a:xfrm>
          <a:off x="22242779" y="61974728"/>
          <a:ext cx="61595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287</xdr:row>
      <xdr:rowOff>119378</xdr:rowOff>
    </xdr:from>
    <xdr:to>
      <xdr:col>31</xdr:col>
      <xdr:colOff>63500</xdr:colOff>
      <xdr:row>287</xdr:row>
      <xdr:rowOff>182878</xdr:rowOff>
    </xdr:to>
    <xdr:sp macro="" textlink="">
      <xdr:nvSpPr>
        <xdr:cNvPr id="1052" name="nuNumber: 1081" hidden="1">
          <a:extLst>
            <a:ext uri="{FF2B5EF4-FFF2-40B4-BE49-F238E27FC236}">
              <a16:creationId xmlns:a16="http://schemas.microsoft.com/office/drawing/2014/main" id="{A8467803-0574-4A89-8878-67145CE56AEB}"/>
            </a:ext>
          </a:extLst>
        </xdr:cNvPr>
        <xdr:cNvSpPr/>
      </xdr:nvSpPr>
      <xdr:spPr bwMode="auto">
        <a:xfrm>
          <a:off x="23383875" y="619747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288</xdr:row>
      <xdr:rowOff>119382</xdr:rowOff>
    </xdr:from>
    <xdr:to>
      <xdr:col>8</xdr:col>
      <xdr:colOff>63500</xdr:colOff>
      <xdr:row>289</xdr:row>
      <xdr:rowOff>2</xdr:rowOff>
    </xdr:to>
    <xdr:sp macro="" textlink="">
      <xdr:nvSpPr>
        <xdr:cNvPr id="1053" name="nuNumber: 1082" hidden="1">
          <a:extLst>
            <a:ext uri="{FF2B5EF4-FFF2-40B4-BE49-F238E27FC236}">
              <a16:creationId xmlns:a16="http://schemas.microsoft.com/office/drawing/2014/main" id="{204430D1-8C65-4263-9D5A-71BC9E9C9429}"/>
            </a:ext>
          </a:extLst>
        </xdr:cNvPr>
        <xdr:cNvSpPr/>
      </xdr:nvSpPr>
      <xdr:spPr bwMode="auto">
        <a:xfrm>
          <a:off x="5562600" y="621842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288</xdr:row>
      <xdr:rowOff>119382</xdr:rowOff>
    </xdr:from>
    <xdr:to>
      <xdr:col>9</xdr:col>
      <xdr:colOff>63500</xdr:colOff>
      <xdr:row>289</xdr:row>
      <xdr:rowOff>2</xdr:rowOff>
    </xdr:to>
    <xdr:sp macro="" textlink="">
      <xdr:nvSpPr>
        <xdr:cNvPr id="1054" name="nuNumber: 1083" hidden="1">
          <a:extLst>
            <a:ext uri="{FF2B5EF4-FFF2-40B4-BE49-F238E27FC236}">
              <a16:creationId xmlns:a16="http://schemas.microsoft.com/office/drawing/2014/main" id="{B942D999-14E0-4830-8327-07673A110F5F}"/>
            </a:ext>
          </a:extLst>
        </xdr:cNvPr>
        <xdr:cNvSpPr/>
      </xdr:nvSpPr>
      <xdr:spPr bwMode="auto">
        <a:xfrm>
          <a:off x="6467475" y="621842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288</xdr:row>
      <xdr:rowOff>119382</xdr:rowOff>
    </xdr:from>
    <xdr:to>
      <xdr:col>9</xdr:col>
      <xdr:colOff>63500</xdr:colOff>
      <xdr:row>289</xdr:row>
      <xdr:rowOff>2</xdr:rowOff>
    </xdr:to>
    <xdr:sp macro="" textlink="">
      <xdr:nvSpPr>
        <xdr:cNvPr id="1055" name="nuNumber: 1084" hidden="1">
          <a:extLst>
            <a:ext uri="{FF2B5EF4-FFF2-40B4-BE49-F238E27FC236}">
              <a16:creationId xmlns:a16="http://schemas.microsoft.com/office/drawing/2014/main" id="{BF7E2A1E-6DE9-450E-A544-EDFC750419C8}"/>
            </a:ext>
          </a:extLst>
        </xdr:cNvPr>
        <xdr:cNvSpPr/>
      </xdr:nvSpPr>
      <xdr:spPr bwMode="auto">
        <a:xfrm>
          <a:off x="6467475" y="621842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288</xdr:row>
      <xdr:rowOff>119382</xdr:rowOff>
    </xdr:from>
    <xdr:to>
      <xdr:col>10</xdr:col>
      <xdr:colOff>63500</xdr:colOff>
      <xdr:row>289</xdr:row>
      <xdr:rowOff>2</xdr:rowOff>
    </xdr:to>
    <xdr:sp macro="" textlink="">
      <xdr:nvSpPr>
        <xdr:cNvPr id="1056" name="nuNumber: 1085" hidden="1">
          <a:extLst>
            <a:ext uri="{FF2B5EF4-FFF2-40B4-BE49-F238E27FC236}">
              <a16:creationId xmlns:a16="http://schemas.microsoft.com/office/drawing/2014/main" id="{4214AD14-6035-42F2-B152-F2970AA53A76}"/>
            </a:ext>
          </a:extLst>
        </xdr:cNvPr>
        <xdr:cNvSpPr/>
      </xdr:nvSpPr>
      <xdr:spPr bwMode="auto">
        <a:xfrm>
          <a:off x="7315200" y="621842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288</xdr:row>
      <xdr:rowOff>119382</xdr:rowOff>
    </xdr:from>
    <xdr:to>
      <xdr:col>11</xdr:col>
      <xdr:colOff>63500</xdr:colOff>
      <xdr:row>289</xdr:row>
      <xdr:rowOff>2</xdr:rowOff>
    </xdr:to>
    <xdr:sp macro="" textlink="">
      <xdr:nvSpPr>
        <xdr:cNvPr id="1057" name="nuNumber: 1086" hidden="1">
          <a:extLst>
            <a:ext uri="{FF2B5EF4-FFF2-40B4-BE49-F238E27FC236}">
              <a16:creationId xmlns:a16="http://schemas.microsoft.com/office/drawing/2014/main" id="{6A2C0C6B-07EA-4109-953D-ABF3CB232B82}"/>
            </a:ext>
          </a:extLst>
        </xdr:cNvPr>
        <xdr:cNvSpPr/>
      </xdr:nvSpPr>
      <xdr:spPr bwMode="auto">
        <a:xfrm>
          <a:off x="8105775" y="621842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288</xdr:row>
      <xdr:rowOff>119382</xdr:rowOff>
    </xdr:from>
    <xdr:to>
      <xdr:col>12</xdr:col>
      <xdr:colOff>63500</xdr:colOff>
      <xdr:row>289</xdr:row>
      <xdr:rowOff>2</xdr:rowOff>
    </xdr:to>
    <xdr:sp macro="" textlink="">
      <xdr:nvSpPr>
        <xdr:cNvPr id="1058" name="nuNumber: 1087" hidden="1">
          <a:extLst>
            <a:ext uri="{FF2B5EF4-FFF2-40B4-BE49-F238E27FC236}">
              <a16:creationId xmlns:a16="http://schemas.microsoft.com/office/drawing/2014/main" id="{3520F1EE-37FF-43FF-98F7-D5C59FD35CA1}"/>
            </a:ext>
          </a:extLst>
        </xdr:cNvPr>
        <xdr:cNvSpPr/>
      </xdr:nvSpPr>
      <xdr:spPr bwMode="auto">
        <a:xfrm>
          <a:off x="8972550" y="621842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288</xdr:row>
      <xdr:rowOff>119382</xdr:rowOff>
    </xdr:from>
    <xdr:to>
      <xdr:col>13</xdr:col>
      <xdr:colOff>63500</xdr:colOff>
      <xdr:row>289</xdr:row>
      <xdr:rowOff>2</xdr:rowOff>
    </xdr:to>
    <xdr:sp macro="" textlink="">
      <xdr:nvSpPr>
        <xdr:cNvPr id="1059" name="nuNumber: 1088" hidden="1">
          <a:extLst>
            <a:ext uri="{FF2B5EF4-FFF2-40B4-BE49-F238E27FC236}">
              <a16:creationId xmlns:a16="http://schemas.microsoft.com/office/drawing/2014/main" id="{D81AAA60-5BC4-44A4-B528-3699D29AC3C4}"/>
            </a:ext>
          </a:extLst>
        </xdr:cNvPr>
        <xdr:cNvSpPr/>
      </xdr:nvSpPr>
      <xdr:spPr bwMode="auto">
        <a:xfrm>
          <a:off x="9753600" y="621842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288</xdr:row>
      <xdr:rowOff>119382</xdr:rowOff>
    </xdr:from>
    <xdr:to>
      <xdr:col>14</xdr:col>
      <xdr:colOff>63500</xdr:colOff>
      <xdr:row>289</xdr:row>
      <xdr:rowOff>2</xdr:rowOff>
    </xdr:to>
    <xdr:sp macro="" textlink="">
      <xdr:nvSpPr>
        <xdr:cNvPr id="1060" name="nuNumber: 1089" hidden="1">
          <a:extLst>
            <a:ext uri="{FF2B5EF4-FFF2-40B4-BE49-F238E27FC236}">
              <a16:creationId xmlns:a16="http://schemas.microsoft.com/office/drawing/2014/main" id="{E13EA169-B39F-4AEA-914D-8739EB892BF8}"/>
            </a:ext>
          </a:extLst>
        </xdr:cNvPr>
        <xdr:cNvSpPr/>
      </xdr:nvSpPr>
      <xdr:spPr bwMode="auto">
        <a:xfrm>
          <a:off x="10515600" y="621842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288</xdr:row>
      <xdr:rowOff>119382</xdr:rowOff>
    </xdr:from>
    <xdr:to>
      <xdr:col>15</xdr:col>
      <xdr:colOff>63500</xdr:colOff>
      <xdr:row>289</xdr:row>
      <xdr:rowOff>2</xdr:rowOff>
    </xdr:to>
    <xdr:sp macro="" textlink="">
      <xdr:nvSpPr>
        <xdr:cNvPr id="1061" name="nuNumber: 1090" hidden="1">
          <a:extLst>
            <a:ext uri="{FF2B5EF4-FFF2-40B4-BE49-F238E27FC236}">
              <a16:creationId xmlns:a16="http://schemas.microsoft.com/office/drawing/2014/main" id="{10E74615-1CC5-42A9-8242-6995E1898DD4}"/>
            </a:ext>
          </a:extLst>
        </xdr:cNvPr>
        <xdr:cNvSpPr/>
      </xdr:nvSpPr>
      <xdr:spPr bwMode="auto">
        <a:xfrm>
          <a:off x="11325225" y="621842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288</xdr:row>
      <xdr:rowOff>119382</xdr:rowOff>
    </xdr:from>
    <xdr:to>
      <xdr:col>16</xdr:col>
      <xdr:colOff>63500</xdr:colOff>
      <xdr:row>289</xdr:row>
      <xdr:rowOff>2</xdr:rowOff>
    </xdr:to>
    <xdr:sp macro="" textlink="">
      <xdr:nvSpPr>
        <xdr:cNvPr id="1062" name="nuNumber: 1091" hidden="1">
          <a:extLst>
            <a:ext uri="{FF2B5EF4-FFF2-40B4-BE49-F238E27FC236}">
              <a16:creationId xmlns:a16="http://schemas.microsoft.com/office/drawing/2014/main" id="{9B083240-B884-4220-AE98-46BD76118BA8}"/>
            </a:ext>
          </a:extLst>
        </xdr:cNvPr>
        <xdr:cNvSpPr/>
      </xdr:nvSpPr>
      <xdr:spPr bwMode="auto">
        <a:xfrm>
          <a:off x="12106275" y="621842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288</xdr:row>
      <xdr:rowOff>119382</xdr:rowOff>
    </xdr:from>
    <xdr:to>
      <xdr:col>17</xdr:col>
      <xdr:colOff>63500</xdr:colOff>
      <xdr:row>289</xdr:row>
      <xdr:rowOff>2</xdr:rowOff>
    </xdr:to>
    <xdr:sp macro="" textlink="">
      <xdr:nvSpPr>
        <xdr:cNvPr id="1063" name="nuNumber: 1092" hidden="1">
          <a:extLst>
            <a:ext uri="{FF2B5EF4-FFF2-40B4-BE49-F238E27FC236}">
              <a16:creationId xmlns:a16="http://schemas.microsoft.com/office/drawing/2014/main" id="{35CC0385-3674-454A-99C8-EEAA36FCFFC2}"/>
            </a:ext>
          </a:extLst>
        </xdr:cNvPr>
        <xdr:cNvSpPr/>
      </xdr:nvSpPr>
      <xdr:spPr bwMode="auto">
        <a:xfrm>
          <a:off x="12887325" y="621842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288</xdr:row>
      <xdr:rowOff>119382</xdr:rowOff>
    </xdr:from>
    <xdr:to>
      <xdr:col>18</xdr:col>
      <xdr:colOff>63499</xdr:colOff>
      <xdr:row>289</xdr:row>
      <xdr:rowOff>2</xdr:rowOff>
    </xdr:to>
    <xdr:sp macro="" textlink="">
      <xdr:nvSpPr>
        <xdr:cNvPr id="1064" name="nuNumber: 1093" hidden="1">
          <a:extLst>
            <a:ext uri="{FF2B5EF4-FFF2-40B4-BE49-F238E27FC236}">
              <a16:creationId xmlns:a16="http://schemas.microsoft.com/office/drawing/2014/main" id="{B36AF422-8061-4EB5-A151-B6AB590D89D1}"/>
            </a:ext>
          </a:extLst>
        </xdr:cNvPr>
        <xdr:cNvSpPr/>
      </xdr:nvSpPr>
      <xdr:spPr bwMode="auto">
        <a:xfrm>
          <a:off x="13624559" y="62184282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288</xdr:row>
      <xdr:rowOff>119382</xdr:rowOff>
    </xdr:from>
    <xdr:to>
      <xdr:col>19</xdr:col>
      <xdr:colOff>63500</xdr:colOff>
      <xdr:row>289</xdr:row>
      <xdr:rowOff>2</xdr:rowOff>
    </xdr:to>
    <xdr:sp macro="" textlink="">
      <xdr:nvSpPr>
        <xdr:cNvPr id="1065" name="nuNumber: 1094" hidden="1">
          <a:extLst>
            <a:ext uri="{FF2B5EF4-FFF2-40B4-BE49-F238E27FC236}">
              <a16:creationId xmlns:a16="http://schemas.microsoft.com/office/drawing/2014/main" id="{991A387A-9EAC-44FE-975D-24AA39626C2D}"/>
            </a:ext>
          </a:extLst>
        </xdr:cNvPr>
        <xdr:cNvSpPr/>
      </xdr:nvSpPr>
      <xdr:spPr bwMode="auto">
        <a:xfrm>
          <a:off x="14382750" y="621842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288</xdr:row>
      <xdr:rowOff>119382</xdr:rowOff>
    </xdr:from>
    <xdr:to>
      <xdr:col>20</xdr:col>
      <xdr:colOff>63500</xdr:colOff>
      <xdr:row>289</xdr:row>
      <xdr:rowOff>2</xdr:rowOff>
    </xdr:to>
    <xdr:sp macro="" textlink="">
      <xdr:nvSpPr>
        <xdr:cNvPr id="1066" name="nuNumber: 1095" hidden="1">
          <a:extLst>
            <a:ext uri="{FF2B5EF4-FFF2-40B4-BE49-F238E27FC236}">
              <a16:creationId xmlns:a16="http://schemas.microsoft.com/office/drawing/2014/main" id="{7CDE9952-4307-4579-98D5-822AF3FCA56C}"/>
            </a:ext>
          </a:extLst>
        </xdr:cNvPr>
        <xdr:cNvSpPr/>
      </xdr:nvSpPr>
      <xdr:spPr bwMode="auto">
        <a:xfrm>
          <a:off x="15135225" y="621842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288</xdr:row>
      <xdr:rowOff>119382</xdr:rowOff>
    </xdr:from>
    <xdr:to>
      <xdr:col>21</xdr:col>
      <xdr:colOff>63500</xdr:colOff>
      <xdr:row>289</xdr:row>
      <xdr:rowOff>2</xdr:rowOff>
    </xdr:to>
    <xdr:sp macro="" textlink="">
      <xdr:nvSpPr>
        <xdr:cNvPr id="1067" name="nuNumber: 1096" hidden="1">
          <a:extLst>
            <a:ext uri="{FF2B5EF4-FFF2-40B4-BE49-F238E27FC236}">
              <a16:creationId xmlns:a16="http://schemas.microsoft.com/office/drawing/2014/main" id="{7A94074B-0997-4E9A-BDE2-6B57479F2060}"/>
            </a:ext>
          </a:extLst>
        </xdr:cNvPr>
        <xdr:cNvSpPr/>
      </xdr:nvSpPr>
      <xdr:spPr bwMode="auto">
        <a:xfrm>
          <a:off x="15849600" y="621842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288</xdr:row>
      <xdr:rowOff>119382</xdr:rowOff>
    </xdr:from>
    <xdr:to>
      <xdr:col>30</xdr:col>
      <xdr:colOff>63499</xdr:colOff>
      <xdr:row>289</xdr:row>
      <xdr:rowOff>2</xdr:rowOff>
    </xdr:to>
    <xdr:sp macro="" textlink="">
      <xdr:nvSpPr>
        <xdr:cNvPr id="1068" name="nuNumber: 1097" hidden="1">
          <a:extLst>
            <a:ext uri="{FF2B5EF4-FFF2-40B4-BE49-F238E27FC236}">
              <a16:creationId xmlns:a16="http://schemas.microsoft.com/office/drawing/2014/main" id="{8545DD05-A8CB-4BB6-BAA0-A40275DD37CA}"/>
            </a:ext>
          </a:extLst>
        </xdr:cNvPr>
        <xdr:cNvSpPr/>
      </xdr:nvSpPr>
      <xdr:spPr bwMode="auto">
        <a:xfrm>
          <a:off x="22242779" y="62184282"/>
          <a:ext cx="61595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288</xdr:row>
      <xdr:rowOff>119382</xdr:rowOff>
    </xdr:from>
    <xdr:to>
      <xdr:col>31</xdr:col>
      <xdr:colOff>63500</xdr:colOff>
      <xdr:row>289</xdr:row>
      <xdr:rowOff>2</xdr:rowOff>
    </xdr:to>
    <xdr:sp macro="" textlink="">
      <xdr:nvSpPr>
        <xdr:cNvPr id="1069" name="nuNumber: 1098" hidden="1">
          <a:extLst>
            <a:ext uri="{FF2B5EF4-FFF2-40B4-BE49-F238E27FC236}">
              <a16:creationId xmlns:a16="http://schemas.microsoft.com/office/drawing/2014/main" id="{219D4D11-1897-4A63-8BDD-EB7BC4C89C7D}"/>
            </a:ext>
          </a:extLst>
        </xdr:cNvPr>
        <xdr:cNvSpPr/>
      </xdr:nvSpPr>
      <xdr:spPr bwMode="auto">
        <a:xfrm>
          <a:off x="23383875" y="621842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290</xdr:row>
      <xdr:rowOff>142238</xdr:rowOff>
    </xdr:from>
    <xdr:to>
      <xdr:col>6</xdr:col>
      <xdr:colOff>63500</xdr:colOff>
      <xdr:row>290</xdr:row>
      <xdr:rowOff>205738</xdr:rowOff>
    </xdr:to>
    <xdr:sp macro="" textlink="">
      <xdr:nvSpPr>
        <xdr:cNvPr id="1070" name="nuNumber: 1099" hidden="1">
          <a:extLst>
            <a:ext uri="{FF2B5EF4-FFF2-40B4-BE49-F238E27FC236}">
              <a16:creationId xmlns:a16="http://schemas.microsoft.com/office/drawing/2014/main" id="{1C765CEA-D69C-4A42-AF94-B659EBD9AFA3}"/>
            </a:ext>
          </a:extLst>
        </xdr:cNvPr>
        <xdr:cNvSpPr/>
      </xdr:nvSpPr>
      <xdr:spPr bwMode="auto">
        <a:xfrm>
          <a:off x="3800475" y="6262623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290</xdr:row>
      <xdr:rowOff>142238</xdr:rowOff>
    </xdr:from>
    <xdr:to>
      <xdr:col>7</xdr:col>
      <xdr:colOff>63500</xdr:colOff>
      <xdr:row>290</xdr:row>
      <xdr:rowOff>205738</xdr:rowOff>
    </xdr:to>
    <xdr:sp macro="" textlink="">
      <xdr:nvSpPr>
        <xdr:cNvPr id="1071" name="nuNumber: 1100" hidden="1">
          <a:extLst>
            <a:ext uri="{FF2B5EF4-FFF2-40B4-BE49-F238E27FC236}">
              <a16:creationId xmlns:a16="http://schemas.microsoft.com/office/drawing/2014/main" id="{55A48807-719D-47B7-A1AA-C58FF12E90A9}"/>
            </a:ext>
          </a:extLst>
        </xdr:cNvPr>
        <xdr:cNvSpPr/>
      </xdr:nvSpPr>
      <xdr:spPr bwMode="auto">
        <a:xfrm>
          <a:off x="4676775" y="6262623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290</xdr:row>
      <xdr:rowOff>142238</xdr:rowOff>
    </xdr:from>
    <xdr:to>
      <xdr:col>9</xdr:col>
      <xdr:colOff>63500</xdr:colOff>
      <xdr:row>290</xdr:row>
      <xdr:rowOff>205738</xdr:rowOff>
    </xdr:to>
    <xdr:sp macro="" textlink="">
      <xdr:nvSpPr>
        <xdr:cNvPr id="1072" name="nuNumber: 1101" hidden="1">
          <a:extLst>
            <a:ext uri="{FF2B5EF4-FFF2-40B4-BE49-F238E27FC236}">
              <a16:creationId xmlns:a16="http://schemas.microsoft.com/office/drawing/2014/main" id="{1FA38F91-65D2-40C3-B9B3-C24935577DDF}"/>
            </a:ext>
          </a:extLst>
        </xdr:cNvPr>
        <xdr:cNvSpPr/>
      </xdr:nvSpPr>
      <xdr:spPr bwMode="auto">
        <a:xfrm>
          <a:off x="6467475" y="6262623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290</xdr:row>
      <xdr:rowOff>142238</xdr:rowOff>
    </xdr:from>
    <xdr:to>
      <xdr:col>9</xdr:col>
      <xdr:colOff>63500</xdr:colOff>
      <xdr:row>290</xdr:row>
      <xdr:rowOff>205738</xdr:rowOff>
    </xdr:to>
    <xdr:sp macro="" textlink="">
      <xdr:nvSpPr>
        <xdr:cNvPr id="1073" name="nuNumber: 1102" hidden="1">
          <a:extLst>
            <a:ext uri="{FF2B5EF4-FFF2-40B4-BE49-F238E27FC236}">
              <a16:creationId xmlns:a16="http://schemas.microsoft.com/office/drawing/2014/main" id="{4CA4C54D-2F3C-48E8-96D3-961B398AFB72}"/>
            </a:ext>
          </a:extLst>
        </xdr:cNvPr>
        <xdr:cNvSpPr/>
      </xdr:nvSpPr>
      <xdr:spPr bwMode="auto">
        <a:xfrm>
          <a:off x="6467475" y="6262623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290</xdr:row>
      <xdr:rowOff>142238</xdr:rowOff>
    </xdr:from>
    <xdr:to>
      <xdr:col>10</xdr:col>
      <xdr:colOff>63500</xdr:colOff>
      <xdr:row>290</xdr:row>
      <xdr:rowOff>205738</xdr:rowOff>
    </xdr:to>
    <xdr:sp macro="" textlink="">
      <xdr:nvSpPr>
        <xdr:cNvPr id="1074" name="nuNumber: 1103" hidden="1">
          <a:extLst>
            <a:ext uri="{FF2B5EF4-FFF2-40B4-BE49-F238E27FC236}">
              <a16:creationId xmlns:a16="http://schemas.microsoft.com/office/drawing/2014/main" id="{C25EFDEF-1BBB-41D6-93BB-4697951258AD}"/>
            </a:ext>
          </a:extLst>
        </xdr:cNvPr>
        <xdr:cNvSpPr/>
      </xdr:nvSpPr>
      <xdr:spPr bwMode="auto">
        <a:xfrm>
          <a:off x="7315200" y="6262623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290</xdr:row>
      <xdr:rowOff>142238</xdr:rowOff>
    </xdr:from>
    <xdr:to>
      <xdr:col>11</xdr:col>
      <xdr:colOff>63500</xdr:colOff>
      <xdr:row>290</xdr:row>
      <xdr:rowOff>205738</xdr:rowOff>
    </xdr:to>
    <xdr:sp macro="" textlink="">
      <xdr:nvSpPr>
        <xdr:cNvPr id="1075" name="nuNumber: 1104" hidden="1">
          <a:extLst>
            <a:ext uri="{FF2B5EF4-FFF2-40B4-BE49-F238E27FC236}">
              <a16:creationId xmlns:a16="http://schemas.microsoft.com/office/drawing/2014/main" id="{0F1C9B3A-8287-44CE-BECE-FA53295C1B38}"/>
            </a:ext>
          </a:extLst>
        </xdr:cNvPr>
        <xdr:cNvSpPr/>
      </xdr:nvSpPr>
      <xdr:spPr bwMode="auto">
        <a:xfrm>
          <a:off x="8105775" y="6262623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290</xdr:row>
      <xdr:rowOff>142238</xdr:rowOff>
    </xdr:from>
    <xdr:to>
      <xdr:col>12</xdr:col>
      <xdr:colOff>63500</xdr:colOff>
      <xdr:row>290</xdr:row>
      <xdr:rowOff>205738</xdr:rowOff>
    </xdr:to>
    <xdr:sp macro="" textlink="">
      <xdr:nvSpPr>
        <xdr:cNvPr id="1076" name="nuNumber: 1105" hidden="1">
          <a:extLst>
            <a:ext uri="{FF2B5EF4-FFF2-40B4-BE49-F238E27FC236}">
              <a16:creationId xmlns:a16="http://schemas.microsoft.com/office/drawing/2014/main" id="{3B73AF3B-6BC7-4514-BC37-FC7F681C2772}"/>
            </a:ext>
          </a:extLst>
        </xdr:cNvPr>
        <xdr:cNvSpPr/>
      </xdr:nvSpPr>
      <xdr:spPr bwMode="auto">
        <a:xfrm>
          <a:off x="8972550" y="6262623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290</xdr:row>
      <xdr:rowOff>142238</xdr:rowOff>
    </xdr:from>
    <xdr:to>
      <xdr:col>13</xdr:col>
      <xdr:colOff>63500</xdr:colOff>
      <xdr:row>290</xdr:row>
      <xdr:rowOff>205738</xdr:rowOff>
    </xdr:to>
    <xdr:sp macro="" textlink="">
      <xdr:nvSpPr>
        <xdr:cNvPr id="1077" name="nuNumber: 1106" hidden="1">
          <a:extLst>
            <a:ext uri="{FF2B5EF4-FFF2-40B4-BE49-F238E27FC236}">
              <a16:creationId xmlns:a16="http://schemas.microsoft.com/office/drawing/2014/main" id="{A51F0D7B-FBB0-4877-ABDF-BAD16975A4AF}"/>
            </a:ext>
          </a:extLst>
        </xdr:cNvPr>
        <xdr:cNvSpPr/>
      </xdr:nvSpPr>
      <xdr:spPr bwMode="auto">
        <a:xfrm>
          <a:off x="9753600" y="6262623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290</xdr:row>
      <xdr:rowOff>142238</xdr:rowOff>
    </xdr:from>
    <xdr:to>
      <xdr:col>14</xdr:col>
      <xdr:colOff>63500</xdr:colOff>
      <xdr:row>290</xdr:row>
      <xdr:rowOff>205738</xdr:rowOff>
    </xdr:to>
    <xdr:sp macro="" textlink="">
      <xdr:nvSpPr>
        <xdr:cNvPr id="1078" name="nuNumber: 1107" hidden="1">
          <a:extLst>
            <a:ext uri="{FF2B5EF4-FFF2-40B4-BE49-F238E27FC236}">
              <a16:creationId xmlns:a16="http://schemas.microsoft.com/office/drawing/2014/main" id="{0CC24F34-4C8C-4695-AC65-32252C6D2006}"/>
            </a:ext>
          </a:extLst>
        </xdr:cNvPr>
        <xdr:cNvSpPr/>
      </xdr:nvSpPr>
      <xdr:spPr bwMode="auto">
        <a:xfrm>
          <a:off x="10515600" y="6262623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290</xdr:row>
      <xdr:rowOff>142238</xdr:rowOff>
    </xdr:from>
    <xdr:to>
      <xdr:col>15</xdr:col>
      <xdr:colOff>63500</xdr:colOff>
      <xdr:row>290</xdr:row>
      <xdr:rowOff>205738</xdr:rowOff>
    </xdr:to>
    <xdr:sp macro="" textlink="">
      <xdr:nvSpPr>
        <xdr:cNvPr id="1079" name="nuNumber: 1108" hidden="1">
          <a:extLst>
            <a:ext uri="{FF2B5EF4-FFF2-40B4-BE49-F238E27FC236}">
              <a16:creationId xmlns:a16="http://schemas.microsoft.com/office/drawing/2014/main" id="{215D48DF-DD50-423D-AD66-91C2B7095E77}"/>
            </a:ext>
          </a:extLst>
        </xdr:cNvPr>
        <xdr:cNvSpPr/>
      </xdr:nvSpPr>
      <xdr:spPr bwMode="auto">
        <a:xfrm>
          <a:off x="11325225" y="6262623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290</xdr:row>
      <xdr:rowOff>142238</xdr:rowOff>
    </xdr:from>
    <xdr:to>
      <xdr:col>16</xdr:col>
      <xdr:colOff>63500</xdr:colOff>
      <xdr:row>290</xdr:row>
      <xdr:rowOff>205738</xdr:rowOff>
    </xdr:to>
    <xdr:sp macro="" textlink="">
      <xdr:nvSpPr>
        <xdr:cNvPr id="1080" name="nuNumber: 1109" hidden="1">
          <a:extLst>
            <a:ext uri="{FF2B5EF4-FFF2-40B4-BE49-F238E27FC236}">
              <a16:creationId xmlns:a16="http://schemas.microsoft.com/office/drawing/2014/main" id="{C6CD11E6-2655-4048-B51E-096EFE1542A3}"/>
            </a:ext>
          </a:extLst>
        </xdr:cNvPr>
        <xdr:cNvSpPr/>
      </xdr:nvSpPr>
      <xdr:spPr bwMode="auto">
        <a:xfrm>
          <a:off x="12106275" y="6262623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290</xdr:row>
      <xdr:rowOff>142238</xdr:rowOff>
    </xdr:from>
    <xdr:to>
      <xdr:col>17</xdr:col>
      <xdr:colOff>63500</xdr:colOff>
      <xdr:row>290</xdr:row>
      <xdr:rowOff>205738</xdr:rowOff>
    </xdr:to>
    <xdr:sp macro="" textlink="">
      <xdr:nvSpPr>
        <xdr:cNvPr id="1081" name="nuNumber: 1110" hidden="1">
          <a:extLst>
            <a:ext uri="{FF2B5EF4-FFF2-40B4-BE49-F238E27FC236}">
              <a16:creationId xmlns:a16="http://schemas.microsoft.com/office/drawing/2014/main" id="{A785711F-7226-4537-AA89-46C68C27113D}"/>
            </a:ext>
          </a:extLst>
        </xdr:cNvPr>
        <xdr:cNvSpPr/>
      </xdr:nvSpPr>
      <xdr:spPr bwMode="auto">
        <a:xfrm>
          <a:off x="12887325" y="6262623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290</xdr:row>
      <xdr:rowOff>142238</xdr:rowOff>
    </xdr:from>
    <xdr:to>
      <xdr:col>18</xdr:col>
      <xdr:colOff>63499</xdr:colOff>
      <xdr:row>290</xdr:row>
      <xdr:rowOff>205738</xdr:rowOff>
    </xdr:to>
    <xdr:sp macro="" textlink="">
      <xdr:nvSpPr>
        <xdr:cNvPr id="1082" name="nuNumber: 1111" hidden="1">
          <a:extLst>
            <a:ext uri="{FF2B5EF4-FFF2-40B4-BE49-F238E27FC236}">
              <a16:creationId xmlns:a16="http://schemas.microsoft.com/office/drawing/2014/main" id="{E9D50176-55A3-4239-9427-68EF6ADBAFBF}"/>
            </a:ext>
          </a:extLst>
        </xdr:cNvPr>
        <xdr:cNvSpPr/>
      </xdr:nvSpPr>
      <xdr:spPr bwMode="auto">
        <a:xfrm>
          <a:off x="13624559" y="62626238"/>
          <a:ext cx="5969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290</xdr:row>
      <xdr:rowOff>142238</xdr:rowOff>
    </xdr:from>
    <xdr:to>
      <xdr:col>19</xdr:col>
      <xdr:colOff>63500</xdr:colOff>
      <xdr:row>290</xdr:row>
      <xdr:rowOff>205738</xdr:rowOff>
    </xdr:to>
    <xdr:sp macro="" textlink="">
      <xdr:nvSpPr>
        <xdr:cNvPr id="1083" name="nuNumber: 1112" hidden="1">
          <a:extLst>
            <a:ext uri="{FF2B5EF4-FFF2-40B4-BE49-F238E27FC236}">
              <a16:creationId xmlns:a16="http://schemas.microsoft.com/office/drawing/2014/main" id="{7EBDAE6F-6FAF-44D9-9F3C-B9166EE58BC6}"/>
            </a:ext>
          </a:extLst>
        </xdr:cNvPr>
        <xdr:cNvSpPr/>
      </xdr:nvSpPr>
      <xdr:spPr bwMode="auto">
        <a:xfrm>
          <a:off x="14382750" y="6262623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290</xdr:row>
      <xdr:rowOff>142238</xdr:rowOff>
    </xdr:from>
    <xdr:to>
      <xdr:col>20</xdr:col>
      <xdr:colOff>63500</xdr:colOff>
      <xdr:row>290</xdr:row>
      <xdr:rowOff>205738</xdr:rowOff>
    </xdr:to>
    <xdr:sp macro="" textlink="">
      <xdr:nvSpPr>
        <xdr:cNvPr id="1084" name="nuNumber: 1113" hidden="1">
          <a:extLst>
            <a:ext uri="{FF2B5EF4-FFF2-40B4-BE49-F238E27FC236}">
              <a16:creationId xmlns:a16="http://schemas.microsoft.com/office/drawing/2014/main" id="{4A880A27-FAE6-4D2E-9A62-2A7B2F39501B}"/>
            </a:ext>
          </a:extLst>
        </xdr:cNvPr>
        <xdr:cNvSpPr/>
      </xdr:nvSpPr>
      <xdr:spPr bwMode="auto">
        <a:xfrm>
          <a:off x="15135225" y="6262623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290</xdr:row>
      <xdr:rowOff>142238</xdr:rowOff>
    </xdr:from>
    <xdr:to>
      <xdr:col>21</xdr:col>
      <xdr:colOff>63500</xdr:colOff>
      <xdr:row>290</xdr:row>
      <xdr:rowOff>205738</xdr:rowOff>
    </xdr:to>
    <xdr:sp macro="" textlink="">
      <xdr:nvSpPr>
        <xdr:cNvPr id="1085" name="nuNumber: 1114" hidden="1">
          <a:extLst>
            <a:ext uri="{FF2B5EF4-FFF2-40B4-BE49-F238E27FC236}">
              <a16:creationId xmlns:a16="http://schemas.microsoft.com/office/drawing/2014/main" id="{DC3DE00D-C10A-412D-8C7F-9957BE8CE0DB}"/>
            </a:ext>
          </a:extLst>
        </xdr:cNvPr>
        <xdr:cNvSpPr/>
      </xdr:nvSpPr>
      <xdr:spPr bwMode="auto">
        <a:xfrm>
          <a:off x="15849600" y="6262623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290</xdr:row>
      <xdr:rowOff>142238</xdr:rowOff>
    </xdr:from>
    <xdr:to>
      <xdr:col>30</xdr:col>
      <xdr:colOff>63499</xdr:colOff>
      <xdr:row>290</xdr:row>
      <xdr:rowOff>205738</xdr:rowOff>
    </xdr:to>
    <xdr:sp macro="" textlink="">
      <xdr:nvSpPr>
        <xdr:cNvPr id="1086" name="nuNumber: 1115" hidden="1">
          <a:extLst>
            <a:ext uri="{FF2B5EF4-FFF2-40B4-BE49-F238E27FC236}">
              <a16:creationId xmlns:a16="http://schemas.microsoft.com/office/drawing/2014/main" id="{2A828478-A055-4B97-B1E0-67775F52BD21}"/>
            </a:ext>
          </a:extLst>
        </xdr:cNvPr>
        <xdr:cNvSpPr/>
      </xdr:nvSpPr>
      <xdr:spPr bwMode="auto">
        <a:xfrm>
          <a:off x="22242779" y="62626238"/>
          <a:ext cx="61595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290</xdr:row>
      <xdr:rowOff>142238</xdr:rowOff>
    </xdr:from>
    <xdr:to>
      <xdr:col>31</xdr:col>
      <xdr:colOff>63500</xdr:colOff>
      <xdr:row>290</xdr:row>
      <xdr:rowOff>205738</xdr:rowOff>
    </xdr:to>
    <xdr:sp macro="" textlink="">
      <xdr:nvSpPr>
        <xdr:cNvPr id="1087" name="nuNumber: 1116" hidden="1">
          <a:extLst>
            <a:ext uri="{FF2B5EF4-FFF2-40B4-BE49-F238E27FC236}">
              <a16:creationId xmlns:a16="http://schemas.microsoft.com/office/drawing/2014/main" id="{55685379-25F6-4A76-9D31-C1CB36F36E2C}"/>
            </a:ext>
          </a:extLst>
        </xdr:cNvPr>
        <xdr:cNvSpPr/>
      </xdr:nvSpPr>
      <xdr:spPr bwMode="auto">
        <a:xfrm>
          <a:off x="23383875" y="6262623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291</xdr:row>
      <xdr:rowOff>119382</xdr:rowOff>
    </xdr:from>
    <xdr:to>
      <xdr:col>10</xdr:col>
      <xdr:colOff>63500</xdr:colOff>
      <xdr:row>292</xdr:row>
      <xdr:rowOff>2</xdr:rowOff>
    </xdr:to>
    <xdr:sp macro="" textlink="">
      <xdr:nvSpPr>
        <xdr:cNvPr id="1088" name="nuNumber: 1117" hidden="1">
          <a:extLst>
            <a:ext uri="{FF2B5EF4-FFF2-40B4-BE49-F238E27FC236}">
              <a16:creationId xmlns:a16="http://schemas.microsoft.com/office/drawing/2014/main" id="{87BD037C-7F7C-47F5-8278-657546F44356}"/>
            </a:ext>
          </a:extLst>
        </xdr:cNvPr>
        <xdr:cNvSpPr/>
      </xdr:nvSpPr>
      <xdr:spPr bwMode="auto">
        <a:xfrm>
          <a:off x="7315200" y="628129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291</xdr:row>
      <xdr:rowOff>119382</xdr:rowOff>
    </xdr:from>
    <xdr:to>
      <xdr:col>11</xdr:col>
      <xdr:colOff>63500</xdr:colOff>
      <xdr:row>292</xdr:row>
      <xdr:rowOff>2</xdr:rowOff>
    </xdr:to>
    <xdr:sp macro="" textlink="">
      <xdr:nvSpPr>
        <xdr:cNvPr id="1089" name="nuNumber: 1118" hidden="1">
          <a:extLst>
            <a:ext uri="{FF2B5EF4-FFF2-40B4-BE49-F238E27FC236}">
              <a16:creationId xmlns:a16="http://schemas.microsoft.com/office/drawing/2014/main" id="{1BA01BD8-D9FB-4C24-81D6-EF2163C0D346}"/>
            </a:ext>
          </a:extLst>
        </xdr:cNvPr>
        <xdr:cNvSpPr/>
      </xdr:nvSpPr>
      <xdr:spPr bwMode="auto">
        <a:xfrm>
          <a:off x="8105775" y="628129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291</xdr:row>
      <xdr:rowOff>119382</xdr:rowOff>
    </xdr:from>
    <xdr:to>
      <xdr:col>12</xdr:col>
      <xdr:colOff>63500</xdr:colOff>
      <xdr:row>292</xdr:row>
      <xdr:rowOff>2</xdr:rowOff>
    </xdr:to>
    <xdr:sp macro="" textlink="">
      <xdr:nvSpPr>
        <xdr:cNvPr id="1090" name="nuNumber: 1119" hidden="1">
          <a:extLst>
            <a:ext uri="{FF2B5EF4-FFF2-40B4-BE49-F238E27FC236}">
              <a16:creationId xmlns:a16="http://schemas.microsoft.com/office/drawing/2014/main" id="{2F8832F7-B57E-49EE-A7B8-E649E6683AB5}"/>
            </a:ext>
          </a:extLst>
        </xdr:cNvPr>
        <xdr:cNvSpPr/>
      </xdr:nvSpPr>
      <xdr:spPr bwMode="auto">
        <a:xfrm>
          <a:off x="8972550" y="628129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291</xdr:row>
      <xdr:rowOff>119382</xdr:rowOff>
    </xdr:from>
    <xdr:to>
      <xdr:col>13</xdr:col>
      <xdr:colOff>63500</xdr:colOff>
      <xdr:row>292</xdr:row>
      <xdr:rowOff>2</xdr:rowOff>
    </xdr:to>
    <xdr:sp macro="" textlink="">
      <xdr:nvSpPr>
        <xdr:cNvPr id="1091" name="nuNumber: 1120" hidden="1">
          <a:extLst>
            <a:ext uri="{FF2B5EF4-FFF2-40B4-BE49-F238E27FC236}">
              <a16:creationId xmlns:a16="http://schemas.microsoft.com/office/drawing/2014/main" id="{52A754C3-A36F-4B20-B41F-EC95EC0CA006}"/>
            </a:ext>
          </a:extLst>
        </xdr:cNvPr>
        <xdr:cNvSpPr/>
      </xdr:nvSpPr>
      <xdr:spPr bwMode="auto">
        <a:xfrm>
          <a:off x="9753600" y="628129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291</xdr:row>
      <xdr:rowOff>119382</xdr:rowOff>
    </xdr:from>
    <xdr:to>
      <xdr:col>14</xdr:col>
      <xdr:colOff>63500</xdr:colOff>
      <xdr:row>292</xdr:row>
      <xdr:rowOff>2</xdr:rowOff>
    </xdr:to>
    <xdr:sp macro="" textlink="">
      <xdr:nvSpPr>
        <xdr:cNvPr id="1092" name="nuNumber: 1121" hidden="1">
          <a:extLst>
            <a:ext uri="{FF2B5EF4-FFF2-40B4-BE49-F238E27FC236}">
              <a16:creationId xmlns:a16="http://schemas.microsoft.com/office/drawing/2014/main" id="{41DB54E9-C80C-4110-B532-EAAD0DF674F4}"/>
            </a:ext>
          </a:extLst>
        </xdr:cNvPr>
        <xdr:cNvSpPr/>
      </xdr:nvSpPr>
      <xdr:spPr bwMode="auto">
        <a:xfrm>
          <a:off x="10515600" y="628129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291</xdr:row>
      <xdr:rowOff>119382</xdr:rowOff>
    </xdr:from>
    <xdr:to>
      <xdr:col>15</xdr:col>
      <xdr:colOff>63500</xdr:colOff>
      <xdr:row>292</xdr:row>
      <xdr:rowOff>2</xdr:rowOff>
    </xdr:to>
    <xdr:sp macro="" textlink="">
      <xdr:nvSpPr>
        <xdr:cNvPr id="1093" name="nuNumber: 1122" hidden="1">
          <a:extLst>
            <a:ext uri="{FF2B5EF4-FFF2-40B4-BE49-F238E27FC236}">
              <a16:creationId xmlns:a16="http://schemas.microsoft.com/office/drawing/2014/main" id="{B96B0F27-FC80-4FF9-A617-A35A5769EB0F}"/>
            </a:ext>
          </a:extLst>
        </xdr:cNvPr>
        <xdr:cNvSpPr/>
      </xdr:nvSpPr>
      <xdr:spPr bwMode="auto">
        <a:xfrm>
          <a:off x="11325225" y="628129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291</xdr:row>
      <xdr:rowOff>119382</xdr:rowOff>
    </xdr:from>
    <xdr:to>
      <xdr:col>16</xdr:col>
      <xdr:colOff>63500</xdr:colOff>
      <xdr:row>292</xdr:row>
      <xdr:rowOff>2</xdr:rowOff>
    </xdr:to>
    <xdr:sp macro="" textlink="">
      <xdr:nvSpPr>
        <xdr:cNvPr id="1094" name="nuNumber: 1123" hidden="1">
          <a:extLst>
            <a:ext uri="{FF2B5EF4-FFF2-40B4-BE49-F238E27FC236}">
              <a16:creationId xmlns:a16="http://schemas.microsoft.com/office/drawing/2014/main" id="{F7E6ABC4-9926-4B9B-A317-8A755D5F594A}"/>
            </a:ext>
          </a:extLst>
        </xdr:cNvPr>
        <xdr:cNvSpPr/>
      </xdr:nvSpPr>
      <xdr:spPr bwMode="auto">
        <a:xfrm>
          <a:off x="12106275" y="628129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291</xdr:row>
      <xdr:rowOff>119382</xdr:rowOff>
    </xdr:from>
    <xdr:to>
      <xdr:col>17</xdr:col>
      <xdr:colOff>63500</xdr:colOff>
      <xdr:row>292</xdr:row>
      <xdr:rowOff>2</xdr:rowOff>
    </xdr:to>
    <xdr:sp macro="" textlink="">
      <xdr:nvSpPr>
        <xdr:cNvPr id="1095" name="nuNumber: 1124" hidden="1">
          <a:extLst>
            <a:ext uri="{FF2B5EF4-FFF2-40B4-BE49-F238E27FC236}">
              <a16:creationId xmlns:a16="http://schemas.microsoft.com/office/drawing/2014/main" id="{4FDCAD6E-6541-42FF-B313-8E86A779AF8E}"/>
            </a:ext>
          </a:extLst>
        </xdr:cNvPr>
        <xdr:cNvSpPr/>
      </xdr:nvSpPr>
      <xdr:spPr bwMode="auto">
        <a:xfrm>
          <a:off x="12887325" y="628129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291</xdr:row>
      <xdr:rowOff>119382</xdr:rowOff>
    </xdr:from>
    <xdr:to>
      <xdr:col>18</xdr:col>
      <xdr:colOff>63499</xdr:colOff>
      <xdr:row>292</xdr:row>
      <xdr:rowOff>2</xdr:rowOff>
    </xdr:to>
    <xdr:sp macro="" textlink="">
      <xdr:nvSpPr>
        <xdr:cNvPr id="1096" name="nuNumber: 1125" hidden="1">
          <a:extLst>
            <a:ext uri="{FF2B5EF4-FFF2-40B4-BE49-F238E27FC236}">
              <a16:creationId xmlns:a16="http://schemas.microsoft.com/office/drawing/2014/main" id="{0A5636AD-7321-4B13-8303-E8AE7E1F0C5A}"/>
            </a:ext>
          </a:extLst>
        </xdr:cNvPr>
        <xdr:cNvSpPr/>
      </xdr:nvSpPr>
      <xdr:spPr bwMode="auto">
        <a:xfrm>
          <a:off x="13624559" y="62812932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291</xdr:row>
      <xdr:rowOff>119382</xdr:rowOff>
    </xdr:from>
    <xdr:to>
      <xdr:col>19</xdr:col>
      <xdr:colOff>63500</xdr:colOff>
      <xdr:row>292</xdr:row>
      <xdr:rowOff>2</xdr:rowOff>
    </xdr:to>
    <xdr:sp macro="" textlink="">
      <xdr:nvSpPr>
        <xdr:cNvPr id="1097" name="nuNumber: 1126" hidden="1">
          <a:extLst>
            <a:ext uri="{FF2B5EF4-FFF2-40B4-BE49-F238E27FC236}">
              <a16:creationId xmlns:a16="http://schemas.microsoft.com/office/drawing/2014/main" id="{4E4A4446-1D9E-41C5-AA18-29BD299C85C1}"/>
            </a:ext>
          </a:extLst>
        </xdr:cNvPr>
        <xdr:cNvSpPr/>
      </xdr:nvSpPr>
      <xdr:spPr bwMode="auto">
        <a:xfrm>
          <a:off x="14382750" y="628129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291</xdr:row>
      <xdr:rowOff>119382</xdr:rowOff>
    </xdr:from>
    <xdr:to>
      <xdr:col>20</xdr:col>
      <xdr:colOff>63500</xdr:colOff>
      <xdr:row>292</xdr:row>
      <xdr:rowOff>2</xdr:rowOff>
    </xdr:to>
    <xdr:sp macro="" textlink="">
      <xdr:nvSpPr>
        <xdr:cNvPr id="1098" name="nuNumber: 1127" hidden="1">
          <a:extLst>
            <a:ext uri="{FF2B5EF4-FFF2-40B4-BE49-F238E27FC236}">
              <a16:creationId xmlns:a16="http://schemas.microsoft.com/office/drawing/2014/main" id="{AF0321FD-F4F9-4098-AAEB-44ACDC160F61}"/>
            </a:ext>
          </a:extLst>
        </xdr:cNvPr>
        <xdr:cNvSpPr/>
      </xdr:nvSpPr>
      <xdr:spPr bwMode="auto">
        <a:xfrm>
          <a:off x="15135225" y="628129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291</xdr:row>
      <xdr:rowOff>119382</xdr:rowOff>
    </xdr:from>
    <xdr:to>
      <xdr:col>21</xdr:col>
      <xdr:colOff>63500</xdr:colOff>
      <xdr:row>292</xdr:row>
      <xdr:rowOff>2</xdr:rowOff>
    </xdr:to>
    <xdr:sp macro="" textlink="">
      <xdr:nvSpPr>
        <xdr:cNvPr id="1099" name="nuNumber: 1128" hidden="1">
          <a:extLst>
            <a:ext uri="{FF2B5EF4-FFF2-40B4-BE49-F238E27FC236}">
              <a16:creationId xmlns:a16="http://schemas.microsoft.com/office/drawing/2014/main" id="{973D18BC-3079-4D9B-A299-DDB310F5F507}"/>
            </a:ext>
          </a:extLst>
        </xdr:cNvPr>
        <xdr:cNvSpPr/>
      </xdr:nvSpPr>
      <xdr:spPr bwMode="auto">
        <a:xfrm>
          <a:off x="15849600" y="628129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291</xdr:row>
      <xdr:rowOff>119382</xdr:rowOff>
    </xdr:from>
    <xdr:to>
      <xdr:col>30</xdr:col>
      <xdr:colOff>63499</xdr:colOff>
      <xdr:row>292</xdr:row>
      <xdr:rowOff>2</xdr:rowOff>
    </xdr:to>
    <xdr:sp macro="" textlink="">
      <xdr:nvSpPr>
        <xdr:cNvPr id="1100" name="nuNumber: 1129" hidden="1">
          <a:extLst>
            <a:ext uri="{FF2B5EF4-FFF2-40B4-BE49-F238E27FC236}">
              <a16:creationId xmlns:a16="http://schemas.microsoft.com/office/drawing/2014/main" id="{1498910B-DB4A-448F-B2F8-41E7FE9CEAF8}"/>
            </a:ext>
          </a:extLst>
        </xdr:cNvPr>
        <xdr:cNvSpPr/>
      </xdr:nvSpPr>
      <xdr:spPr bwMode="auto">
        <a:xfrm>
          <a:off x="22242779" y="62812932"/>
          <a:ext cx="61595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291</xdr:row>
      <xdr:rowOff>119382</xdr:rowOff>
    </xdr:from>
    <xdr:to>
      <xdr:col>31</xdr:col>
      <xdr:colOff>63500</xdr:colOff>
      <xdr:row>292</xdr:row>
      <xdr:rowOff>2</xdr:rowOff>
    </xdr:to>
    <xdr:sp macro="" textlink="">
      <xdr:nvSpPr>
        <xdr:cNvPr id="1101" name="nuNumber: 1130" hidden="1">
          <a:extLst>
            <a:ext uri="{FF2B5EF4-FFF2-40B4-BE49-F238E27FC236}">
              <a16:creationId xmlns:a16="http://schemas.microsoft.com/office/drawing/2014/main" id="{7666B4A0-9CA0-4987-B713-0267B2A6367D}"/>
            </a:ext>
          </a:extLst>
        </xdr:cNvPr>
        <xdr:cNvSpPr/>
      </xdr:nvSpPr>
      <xdr:spPr bwMode="auto">
        <a:xfrm>
          <a:off x="23383875" y="628129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303</xdr:row>
      <xdr:rowOff>119379</xdr:rowOff>
    </xdr:from>
    <xdr:to>
      <xdr:col>30</xdr:col>
      <xdr:colOff>63499</xdr:colOff>
      <xdr:row>303</xdr:row>
      <xdr:rowOff>182879</xdr:rowOff>
    </xdr:to>
    <xdr:sp macro="" textlink="">
      <xdr:nvSpPr>
        <xdr:cNvPr id="1102" name="nuNumber: 1131" hidden="1">
          <a:extLst>
            <a:ext uri="{FF2B5EF4-FFF2-40B4-BE49-F238E27FC236}">
              <a16:creationId xmlns:a16="http://schemas.microsoft.com/office/drawing/2014/main" id="{B6ACF30B-1B59-48E1-86AA-E797048BF078}"/>
            </a:ext>
          </a:extLst>
        </xdr:cNvPr>
        <xdr:cNvSpPr/>
      </xdr:nvSpPr>
      <xdr:spPr bwMode="auto">
        <a:xfrm>
          <a:off x="22242779" y="65327529"/>
          <a:ext cx="61595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303</xdr:row>
      <xdr:rowOff>119379</xdr:rowOff>
    </xdr:from>
    <xdr:to>
      <xdr:col>31</xdr:col>
      <xdr:colOff>63500</xdr:colOff>
      <xdr:row>303</xdr:row>
      <xdr:rowOff>182879</xdr:rowOff>
    </xdr:to>
    <xdr:sp macro="" textlink="">
      <xdr:nvSpPr>
        <xdr:cNvPr id="1103" name="nuNumber: 1132" hidden="1">
          <a:extLst>
            <a:ext uri="{FF2B5EF4-FFF2-40B4-BE49-F238E27FC236}">
              <a16:creationId xmlns:a16="http://schemas.microsoft.com/office/drawing/2014/main" id="{A2F865C0-7FD2-46C0-B6E6-091896E18B10}"/>
            </a:ext>
          </a:extLst>
        </xdr:cNvPr>
        <xdr:cNvSpPr/>
      </xdr:nvSpPr>
      <xdr:spPr bwMode="auto">
        <a:xfrm>
          <a:off x="23383875" y="6532752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306</xdr:row>
      <xdr:rowOff>119381</xdr:rowOff>
    </xdr:from>
    <xdr:to>
      <xdr:col>30</xdr:col>
      <xdr:colOff>63499</xdr:colOff>
      <xdr:row>307</xdr:row>
      <xdr:rowOff>1</xdr:rowOff>
    </xdr:to>
    <xdr:sp macro="" textlink="">
      <xdr:nvSpPr>
        <xdr:cNvPr id="1104" name="nuNumber: 1133" hidden="1">
          <a:extLst>
            <a:ext uri="{FF2B5EF4-FFF2-40B4-BE49-F238E27FC236}">
              <a16:creationId xmlns:a16="http://schemas.microsoft.com/office/drawing/2014/main" id="{BB97EFB9-78AA-4D18-B1E4-FDEABE16FA8C}"/>
            </a:ext>
          </a:extLst>
        </xdr:cNvPr>
        <xdr:cNvSpPr/>
      </xdr:nvSpPr>
      <xdr:spPr bwMode="auto">
        <a:xfrm>
          <a:off x="22242779" y="65956181"/>
          <a:ext cx="61595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306</xdr:row>
      <xdr:rowOff>119381</xdr:rowOff>
    </xdr:from>
    <xdr:to>
      <xdr:col>31</xdr:col>
      <xdr:colOff>63500</xdr:colOff>
      <xdr:row>307</xdr:row>
      <xdr:rowOff>1</xdr:rowOff>
    </xdr:to>
    <xdr:sp macro="" textlink="">
      <xdr:nvSpPr>
        <xdr:cNvPr id="1105" name="nuNumber: 1134" hidden="1">
          <a:extLst>
            <a:ext uri="{FF2B5EF4-FFF2-40B4-BE49-F238E27FC236}">
              <a16:creationId xmlns:a16="http://schemas.microsoft.com/office/drawing/2014/main" id="{4206BBCC-9454-473A-8649-AE708B524B7A}"/>
            </a:ext>
          </a:extLst>
        </xdr:cNvPr>
        <xdr:cNvSpPr/>
      </xdr:nvSpPr>
      <xdr:spPr bwMode="auto">
        <a:xfrm>
          <a:off x="23383875" y="659561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307</xdr:row>
      <xdr:rowOff>119380</xdr:rowOff>
    </xdr:from>
    <xdr:to>
      <xdr:col>6</xdr:col>
      <xdr:colOff>63500</xdr:colOff>
      <xdr:row>308</xdr:row>
      <xdr:rowOff>0</xdr:rowOff>
    </xdr:to>
    <xdr:sp macro="" textlink="">
      <xdr:nvSpPr>
        <xdr:cNvPr id="1106" name="nuNumber: 1135" hidden="1">
          <a:extLst>
            <a:ext uri="{FF2B5EF4-FFF2-40B4-BE49-F238E27FC236}">
              <a16:creationId xmlns:a16="http://schemas.microsoft.com/office/drawing/2014/main" id="{B83C318D-6025-404C-9F9D-FDC008E9E0EE}"/>
            </a:ext>
          </a:extLst>
        </xdr:cNvPr>
        <xdr:cNvSpPr/>
      </xdr:nvSpPr>
      <xdr:spPr bwMode="auto">
        <a:xfrm>
          <a:off x="3800475" y="66165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307</xdr:row>
      <xdr:rowOff>119380</xdr:rowOff>
    </xdr:from>
    <xdr:to>
      <xdr:col>8</xdr:col>
      <xdr:colOff>63500</xdr:colOff>
      <xdr:row>308</xdr:row>
      <xdr:rowOff>0</xdr:rowOff>
    </xdr:to>
    <xdr:sp macro="" textlink="">
      <xdr:nvSpPr>
        <xdr:cNvPr id="1107" name="nuNumber: 1136" hidden="1">
          <a:extLst>
            <a:ext uri="{FF2B5EF4-FFF2-40B4-BE49-F238E27FC236}">
              <a16:creationId xmlns:a16="http://schemas.microsoft.com/office/drawing/2014/main" id="{FAE32AB6-3095-4F25-8C7A-ECD03F819AAC}"/>
            </a:ext>
          </a:extLst>
        </xdr:cNvPr>
        <xdr:cNvSpPr/>
      </xdr:nvSpPr>
      <xdr:spPr bwMode="auto">
        <a:xfrm>
          <a:off x="5562600" y="66165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307</xdr:row>
      <xdr:rowOff>119380</xdr:rowOff>
    </xdr:from>
    <xdr:to>
      <xdr:col>9</xdr:col>
      <xdr:colOff>63500</xdr:colOff>
      <xdr:row>308</xdr:row>
      <xdr:rowOff>0</xdr:rowOff>
    </xdr:to>
    <xdr:sp macro="" textlink="">
      <xdr:nvSpPr>
        <xdr:cNvPr id="1108" name="nuNumber: 1137" hidden="1">
          <a:extLst>
            <a:ext uri="{FF2B5EF4-FFF2-40B4-BE49-F238E27FC236}">
              <a16:creationId xmlns:a16="http://schemas.microsoft.com/office/drawing/2014/main" id="{61B40AB7-0E27-42B8-BF42-927143AFE02E}"/>
            </a:ext>
          </a:extLst>
        </xdr:cNvPr>
        <xdr:cNvSpPr/>
      </xdr:nvSpPr>
      <xdr:spPr bwMode="auto">
        <a:xfrm>
          <a:off x="6467475" y="66165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307</xdr:row>
      <xdr:rowOff>119380</xdr:rowOff>
    </xdr:from>
    <xdr:to>
      <xdr:col>9</xdr:col>
      <xdr:colOff>63500</xdr:colOff>
      <xdr:row>308</xdr:row>
      <xdr:rowOff>0</xdr:rowOff>
    </xdr:to>
    <xdr:sp macro="" textlink="">
      <xdr:nvSpPr>
        <xdr:cNvPr id="1109" name="nuNumber: 1138" hidden="1">
          <a:extLst>
            <a:ext uri="{FF2B5EF4-FFF2-40B4-BE49-F238E27FC236}">
              <a16:creationId xmlns:a16="http://schemas.microsoft.com/office/drawing/2014/main" id="{5E2B560D-01AE-49C4-8187-A7314E601993}"/>
            </a:ext>
          </a:extLst>
        </xdr:cNvPr>
        <xdr:cNvSpPr/>
      </xdr:nvSpPr>
      <xdr:spPr bwMode="auto">
        <a:xfrm>
          <a:off x="6467475" y="66165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307</xdr:row>
      <xdr:rowOff>119380</xdr:rowOff>
    </xdr:from>
    <xdr:to>
      <xdr:col>10</xdr:col>
      <xdr:colOff>63500</xdr:colOff>
      <xdr:row>308</xdr:row>
      <xdr:rowOff>0</xdr:rowOff>
    </xdr:to>
    <xdr:sp macro="" textlink="">
      <xdr:nvSpPr>
        <xdr:cNvPr id="1110" name="nuNumber: 1139" hidden="1">
          <a:extLst>
            <a:ext uri="{FF2B5EF4-FFF2-40B4-BE49-F238E27FC236}">
              <a16:creationId xmlns:a16="http://schemas.microsoft.com/office/drawing/2014/main" id="{BFD46B32-2D71-434B-9080-116CF7F1E13D}"/>
            </a:ext>
          </a:extLst>
        </xdr:cNvPr>
        <xdr:cNvSpPr/>
      </xdr:nvSpPr>
      <xdr:spPr bwMode="auto">
        <a:xfrm>
          <a:off x="7315200" y="66165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307</xdr:row>
      <xdr:rowOff>119380</xdr:rowOff>
    </xdr:from>
    <xdr:to>
      <xdr:col>11</xdr:col>
      <xdr:colOff>63500</xdr:colOff>
      <xdr:row>308</xdr:row>
      <xdr:rowOff>0</xdr:rowOff>
    </xdr:to>
    <xdr:sp macro="" textlink="">
      <xdr:nvSpPr>
        <xdr:cNvPr id="1111" name="nuNumber: 1140" hidden="1">
          <a:extLst>
            <a:ext uri="{FF2B5EF4-FFF2-40B4-BE49-F238E27FC236}">
              <a16:creationId xmlns:a16="http://schemas.microsoft.com/office/drawing/2014/main" id="{F99AA91C-134B-46A6-9B48-48D8BAC6530B}"/>
            </a:ext>
          </a:extLst>
        </xdr:cNvPr>
        <xdr:cNvSpPr/>
      </xdr:nvSpPr>
      <xdr:spPr bwMode="auto">
        <a:xfrm>
          <a:off x="8105775" y="66165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307</xdr:row>
      <xdr:rowOff>119380</xdr:rowOff>
    </xdr:from>
    <xdr:to>
      <xdr:col>12</xdr:col>
      <xdr:colOff>63500</xdr:colOff>
      <xdr:row>308</xdr:row>
      <xdr:rowOff>0</xdr:rowOff>
    </xdr:to>
    <xdr:sp macro="" textlink="">
      <xdr:nvSpPr>
        <xdr:cNvPr id="1112" name="nuNumber: 1141" hidden="1">
          <a:extLst>
            <a:ext uri="{FF2B5EF4-FFF2-40B4-BE49-F238E27FC236}">
              <a16:creationId xmlns:a16="http://schemas.microsoft.com/office/drawing/2014/main" id="{F8D24B88-6538-406E-A59B-D32369C9519F}"/>
            </a:ext>
          </a:extLst>
        </xdr:cNvPr>
        <xdr:cNvSpPr/>
      </xdr:nvSpPr>
      <xdr:spPr bwMode="auto">
        <a:xfrm>
          <a:off x="8972550" y="66165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307</xdr:row>
      <xdr:rowOff>119380</xdr:rowOff>
    </xdr:from>
    <xdr:to>
      <xdr:col>13</xdr:col>
      <xdr:colOff>63500</xdr:colOff>
      <xdr:row>308</xdr:row>
      <xdr:rowOff>0</xdr:rowOff>
    </xdr:to>
    <xdr:sp macro="" textlink="">
      <xdr:nvSpPr>
        <xdr:cNvPr id="1113" name="nuNumber: 1142" hidden="1">
          <a:extLst>
            <a:ext uri="{FF2B5EF4-FFF2-40B4-BE49-F238E27FC236}">
              <a16:creationId xmlns:a16="http://schemas.microsoft.com/office/drawing/2014/main" id="{74421D63-5AC3-4710-B3CD-AD8C2311A0DB}"/>
            </a:ext>
          </a:extLst>
        </xdr:cNvPr>
        <xdr:cNvSpPr/>
      </xdr:nvSpPr>
      <xdr:spPr bwMode="auto">
        <a:xfrm>
          <a:off x="9753600" y="66165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307</xdr:row>
      <xdr:rowOff>119380</xdr:rowOff>
    </xdr:from>
    <xdr:to>
      <xdr:col>14</xdr:col>
      <xdr:colOff>63500</xdr:colOff>
      <xdr:row>308</xdr:row>
      <xdr:rowOff>0</xdr:rowOff>
    </xdr:to>
    <xdr:sp macro="" textlink="">
      <xdr:nvSpPr>
        <xdr:cNvPr id="1114" name="nuNumber: 1143" hidden="1">
          <a:extLst>
            <a:ext uri="{FF2B5EF4-FFF2-40B4-BE49-F238E27FC236}">
              <a16:creationId xmlns:a16="http://schemas.microsoft.com/office/drawing/2014/main" id="{92141E8D-4F61-473C-BA6A-0319AE777768}"/>
            </a:ext>
          </a:extLst>
        </xdr:cNvPr>
        <xdr:cNvSpPr/>
      </xdr:nvSpPr>
      <xdr:spPr bwMode="auto">
        <a:xfrm>
          <a:off x="10515600" y="66165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307</xdr:row>
      <xdr:rowOff>119380</xdr:rowOff>
    </xdr:from>
    <xdr:to>
      <xdr:col>15</xdr:col>
      <xdr:colOff>63500</xdr:colOff>
      <xdr:row>308</xdr:row>
      <xdr:rowOff>0</xdr:rowOff>
    </xdr:to>
    <xdr:sp macro="" textlink="">
      <xdr:nvSpPr>
        <xdr:cNvPr id="1115" name="nuNumber: 1144" hidden="1">
          <a:extLst>
            <a:ext uri="{FF2B5EF4-FFF2-40B4-BE49-F238E27FC236}">
              <a16:creationId xmlns:a16="http://schemas.microsoft.com/office/drawing/2014/main" id="{C575950B-AE0D-4323-B109-58963291D1E1}"/>
            </a:ext>
          </a:extLst>
        </xdr:cNvPr>
        <xdr:cNvSpPr/>
      </xdr:nvSpPr>
      <xdr:spPr bwMode="auto">
        <a:xfrm>
          <a:off x="11325225" y="66165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307</xdr:row>
      <xdr:rowOff>119380</xdr:rowOff>
    </xdr:from>
    <xdr:to>
      <xdr:col>16</xdr:col>
      <xdr:colOff>63500</xdr:colOff>
      <xdr:row>308</xdr:row>
      <xdr:rowOff>0</xdr:rowOff>
    </xdr:to>
    <xdr:sp macro="" textlink="">
      <xdr:nvSpPr>
        <xdr:cNvPr id="1116" name="nuNumber: 1145" hidden="1">
          <a:extLst>
            <a:ext uri="{FF2B5EF4-FFF2-40B4-BE49-F238E27FC236}">
              <a16:creationId xmlns:a16="http://schemas.microsoft.com/office/drawing/2014/main" id="{2C579F8D-E620-49B4-A826-9581D8227CC3}"/>
            </a:ext>
          </a:extLst>
        </xdr:cNvPr>
        <xdr:cNvSpPr/>
      </xdr:nvSpPr>
      <xdr:spPr bwMode="auto">
        <a:xfrm>
          <a:off x="12106275" y="66165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307</xdr:row>
      <xdr:rowOff>119380</xdr:rowOff>
    </xdr:from>
    <xdr:to>
      <xdr:col>17</xdr:col>
      <xdr:colOff>63500</xdr:colOff>
      <xdr:row>308</xdr:row>
      <xdr:rowOff>0</xdr:rowOff>
    </xdr:to>
    <xdr:sp macro="" textlink="">
      <xdr:nvSpPr>
        <xdr:cNvPr id="1117" name="nuNumber: 1146" hidden="1">
          <a:extLst>
            <a:ext uri="{FF2B5EF4-FFF2-40B4-BE49-F238E27FC236}">
              <a16:creationId xmlns:a16="http://schemas.microsoft.com/office/drawing/2014/main" id="{AE3F51B0-C33E-4830-848E-11445936A087}"/>
            </a:ext>
          </a:extLst>
        </xdr:cNvPr>
        <xdr:cNvSpPr/>
      </xdr:nvSpPr>
      <xdr:spPr bwMode="auto">
        <a:xfrm>
          <a:off x="12887325" y="66165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307</xdr:row>
      <xdr:rowOff>119380</xdr:rowOff>
    </xdr:from>
    <xdr:to>
      <xdr:col>18</xdr:col>
      <xdr:colOff>63499</xdr:colOff>
      <xdr:row>308</xdr:row>
      <xdr:rowOff>0</xdr:rowOff>
    </xdr:to>
    <xdr:sp macro="" textlink="">
      <xdr:nvSpPr>
        <xdr:cNvPr id="1118" name="nuNumber: 1147" hidden="1">
          <a:extLst>
            <a:ext uri="{FF2B5EF4-FFF2-40B4-BE49-F238E27FC236}">
              <a16:creationId xmlns:a16="http://schemas.microsoft.com/office/drawing/2014/main" id="{1E1EF7BA-AC7F-474D-A7B5-4D52AAC09C51}"/>
            </a:ext>
          </a:extLst>
        </xdr:cNvPr>
        <xdr:cNvSpPr/>
      </xdr:nvSpPr>
      <xdr:spPr bwMode="auto">
        <a:xfrm>
          <a:off x="13624559" y="6616573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307</xdr:row>
      <xdr:rowOff>119380</xdr:rowOff>
    </xdr:from>
    <xdr:to>
      <xdr:col>19</xdr:col>
      <xdr:colOff>63500</xdr:colOff>
      <xdr:row>308</xdr:row>
      <xdr:rowOff>0</xdr:rowOff>
    </xdr:to>
    <xdr:sp macro="" textlink="">
      <xdr:nvSpPr>
        <xdr:cNvPr id="1119" name="nuNumber: 1148" hidden="1">
          <a:extLst>
            <a:ext uri="{FF2B5EF4-FFF2-40B4-BE49-F238E27FC236}">
              <a16:creationId xmlns:a16="http://schemas.microsoft.com/office/drawing/2014/main" id="{21CD15C8-4FE7-4FE3-B519-CD19BE031A07}"/>
            </a:ext>
          </a:extLst>
        </xdr:cNvPr>
        <xdr:cNvSpPr/>
      </xdr:nvSpPr>
      <xdr:spPr bwMode="auto">
        <a:xfrm>
          <a:off x="14382750" y="66165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307</xdr:row>
      <xdr:rowOff>119380</xdr:rowOff>
    </xdr:from>
    <xdr:to>
      <xdr:col>20</xdr:col>
      <xdr:colOff>63500</xdr:colOff>
      <xdr:row>308</xdr:row>
      <xdr:rowOff>0</xdr:rowOff>
    </xdr:to>
    <xdr:sp macro="" textlink="">
      <xdr:nvSpPr>
        <xdr:cNvPr id="1120" name="nuNumber: 1149" hidden="1">
          <a:extLst>
            <a:ext uri="{FF2B5EF4-FFF2-40B4-BE49-F238E27FC236}">
              <a16:creationId xmlns:a16="http://schemas.microsoft.com/office/drawing/2014/main" id="{8211AFD4-4C04-43DF-9612-BD5A01DB9A9E}"/>
            </a:ext>
          </a:extLst>
        </xdr:cNvPr>
        <xdr:cNvSpPr/>
      </xdr:nvSpPr>
      <xdr:spPr bwMode="auto">
        <a:xfrm>
          <a:off x="15135225" y="66165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307</xdr:row>
      <xdr:rowOff>119380</xdr:rowOff>
    </xdr:from>
    <xdr:to>
      <xdr:col>21</xdr:col>
      <xdr:colOff>63500</xdr:colOff>
      <xdr:row>308</xdr:row>
      <xdr:rowOff>0</xdr:rowOff>
    </xdr:to>
    <xdr:sp macro="" textlink="">
      <xdr:nvSpPr>
        <xdr:cNvPr id="1121" name="nuNumber: 1150" hidden="1">
          <a:extLst>
            <a:ext uri="{FF2B5EF4-FFF2-40B4-BE49-F238E27FC236}">
              <a16:creationId xmlns:a16="http://schemas.microsoft.com/office/drawing/2014/main" id="{75200C9F-5858-4E46-9635-1D2C2E250C4E}"/>
            </a:ext>
          </a:extLst>
        </xdr:cNvPr>
        <xdr:cNvSpPr/>
      </xdr:nvSpPr>
      <xdr:spPr bwMode="auto">
        <a:xfrm>
          <a:off x="15849600" y="66165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307</xdr:row>
      <xdr:rowOff>119380</xdr:rowOff>
    </xdr:from>
    <xdr:to>
      <xdr:col>30</xdr:col>
      <xdr:colOff>63499</xdr:colOff>
      <xdr:row>308</xdr:row>
      <xdr:rowOff>0</xdr:rowOff>
    </xdr:to>
    <xdr:sp macro="" textlink="">
      <xdr:nvSpPr>
        <xdr:cNvPr id="1122" name="nuNumber: 1151" hidden="1">
          <a:extLst>
            <a:ext uri="{FF2B5EF4-FFF2-40B4-BE49-F238E27FC236}">
              <a16:creationId xmlns:a16="http://schemas.microsoft.com/office/drawing/2014/main" id="{24664BB2-C4EA-4D26-9BB9-85537D0713B1}"/>
            </a:ext>
          </a:extLst>
        </xdr:cNvPr>
        <xdr:cNvSpPr/>
      </xdr:nvSpPr>
      <xdr:spPr bwMode="auto">
        <a:xfrm>
          <a:off x="22242779" y="66165730"/>
          <a:ext cx="61595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307</xdr:row>
      <xdr:rowOff>119380</xdr:rowOff>
    </xdr:from>
    <xdr:to>
      <xdr:col>31</xdr:col>
      <xdr:colOff>63500</xdr:colOff>
      <xdr:row>308</xdr:row>
      <xdr:rowOff>0</xdr:rowOff>
    </xdr:to>
    <xdr:sp macro="" textlink="">
      <xdr:nvSpPr>
        <xdr:cNvPr id="1123" name="nuNumber: 1152" hidden="1">
          <a:extLst>
            <a:ext uri="{FF2B5EF4-FFF2-40B4-BE49-F238E27FC236}">
              <a16:creationId xmlns:a16="http://schemas.microsoft.com/office/drawing/2014/main" id="{FE64BEA2-F7F6-4855-9362-2ADB3FF1E57A}"/>
            </a:ext>
          </a:extLst>
        </xdr:cNvPr>
        <xdr:cNvSpPr/>
      </xdr:nvSpPr>
      <xdr:spPr bwMode="auto">
        <a:xfrm>
          <a:off x="23383875" y="661657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308</xdr:row>
      <xdr:rowOff>119379</xdr:rowOff>
    </xdr:from>
    <xdr:to>
      <xdr:col>30</xdr:col>
      <xdr:colOff>63499</xdr:colOff>
      <xdr:row>308</xdr:row>
      <xdr:rowOff>182879</xdr:rowOff>
    </xdr:to>
    <xdr:sp macro="" textlink="">
      <xdr:nvSpPr>
        <xdr:cNvPr id="1124" name="nuNumber: 1153" hidden="1">
          <a:extLst>
            <a:ext uri="{FF2B5EF4-FFF2-40B4-BE49-F238E27FC236}">
              <a16:creationId xmlns:a16="http://schemas.microsoft.com/office/drawing/2014/main" id="{1D182AB8-00E1-43EE-B807-5B3EFE8DE605}"/>
            </a:ext>
          </a:extLst>
        </xdr:cNvPr>
        <xdr:cNvSpPr/>
      </xdr:nvSpPr>
      <xdr:spPr bwMode="auto">
        <a:xfrm>
          <a:off x="22242779" y="66375279"/>
          <a:ext cx="61595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308</xdr:row>
      <xdr:rowOff>119379</xdr:rowOff>
    </xdr:from>
    <xdr:to>
      <xdr:col>31</xdr:col>
      <xdr:colOff>63500</xdr:colOff>
      <xdr:row>308</xdr:row>
      <xdr:rowOff>182879</xdr:rowOff>
    </xdr:to>
    <xdr:sp macro="" textlink="">
      <xdr:nvSpPr>
        <xdr:cNvPr id="1125" name="nuNumber: 1154" hidden="1">
          <a:extLst>
            <a:ext uri="{FF2B5EF4-FFF2-40B4-BE49-F238E27FC236}">
              <a16:creationId xmlns:a16="http://schemas.microsoft.com/office/drawing/2014/main" id="{EE73798E-1923-49D4-AB08-BD496591E72E}"/>
            </a:ext>
          </a:extLst>
        </xdr:cNvPr>
        <xdr:cNvSpPr/>
      </xdr:nvSpPr>
      <xdr:spPr bwMode="auto">
        <a:xfrm>
          <a:off x="23383875" y="663752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309</xdr:row>
      <xdr:rowOff>119378</xdr:rowOff>
    </xdr:from>
    <xdr:to>
      <xdr:col>6</xdr:col>
      <xdr:colOff>63500</xdr:colOff>
      <xdr:row>309</xdr:row>
      <xdr:rowOff>182878</xdr:rowOff>
    </xdr:to>
    <xdr:sp macro="" textlink="">
      <xdr:nvSpPr>
        <xdr:cNvPr id="1126" name="nuNumber: 1155" hidden="1">
          <a:extLst>
            <a:ext uri="{FF2B5EF4-FFF2-40B4-BE49-F238E27FC236}">
              <a16:creationId xmlns:a16="http://schemas.microsoft.com/office/drawing/2014/main" id="{F7284844-D60B-4240-AE5B-3B20BE150252}"/>
            </a:ext>
          </a:extLst>
        </xdr:cNvPr>
        <xdr:cNvSpPr/>
      </xdr:nvSpPr>
      <xdr:spPr bwMode="auto">
        <a:xfrm>
          <a:off x="3800475" y="665848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309</xdr:row>
      <xdr:rowOff>119378</xdr:rowOff>
    </xdr:from>
    <xdr:to>
      <xdr:col>7</xdr:col>
      <xdr:colOff>63500</xdr:colOff>
      <xdr:row>309</xdr:row>
      <xdr:rowOff>182878</xdr:rowOff>
    </xdr:to>
    <xdr:sp macro="" textlink="">
      <xdr:nvSpPr>
        <xdr:cNvPr id="1127" name="nuNumber: 1156" hidden="1">
          <a:extLst>
            <a:ext uri="{FF2B5EF4-FFF2-40B4-BE49-F238E27FC236}">
              <a16:creationId xmlns:a16="http://schemas.microsoft.com/office/drawing/2014/main" id="{60CE19F2-8827-4815-A04B-704AB3EC05BE}"/>
            </a:ext>
          </a:extLst>
        </xdr:cNvPr>
        <xdr:cNvSpPr/>
      </xdr:nvSpPr>
      <xdr:spPr bwMode="auto">
        <a:xfrm>
          <a:off x="4676775" y="665848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309</xdr:row>
      <xdr:rowOff>119378</xdr:rowOff>
    </xdr:from>
    <xdr:to>
      <xdr:col>8</xdr:col>
      <xdr:colOff>63500</xdr:colOff>
      <xdr:row>309</xdr:row>
      <xdr:rowOff>182878</xdr:rowOff>
    </xdr:to>
    <xdr:sp macro="" textlink="">
      <xdr:nvSpPr>
        <xdr:cNvPr id="1128" name="nuNumber: 1157" hidden="1">
          <a:extLst>
            <a:ext uri="{FF2B5EF4-FFF2-40B4-BE49-F238E27FC236}">
              <a16:creationId xmlns:a16="http://schemas.microsoft.com/office/drawing/2014/main" id="{191B1822-8950-400F-9163-8EAD5DDE31BE}"/>
            </a:ext>
          </a:extLst>
        </xdr:cNvPr>
        <xdr:cNvSpPr/>
      </xdr:nvSpPr>
      <xdr:spPr bwMode="auto">
        <a:xfrm>
          <a:off x="5562600" y="665848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309</xdr:row>
      <xdr:rowOff>119378</xdr:rowOff>
    </xdr:from>
    <xdr:to>
      <xdr:col>9</xdr:col>
      <xdr:colOff>63500</xdr:colOff>
      <xdr:row>309</xdr:row>
      <xdr:rowOff>182878</xdr:rowOff>
    </xdr:to>
    <xdr:sp macro="" textlink="">
      <xdr:nvSpPr>
        <xdr:cNvPr id="1129" name="nuNumber: 1158" hidden="1">
          <a:extLst>
            <a:ext uri="{FF2B5EF4-FFF2-40B4-BE49-F238E27FC236}">
              <a16:creationId xmlns:a16="http://schemas.microsoft.com/office/drawing/2014/main" id="{6AD69CBF-A04A-46F9-992B-6BD5CD38B9FA}"/>
            </a:ext>
          </a:extLst>
        </xdr:cNvPr>
        <xdr:cNvSpPr/>
      </xdr:nvSpPr>
      <xdr:spPr bwMode="auto">
        <a:xfrm>
          <a:off x="6467475" y="665848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309</xdr:row>
      <xdr:rowOff>119378</xdr:rowOff>
    </xdr:from>
    <xdr:to>
      <xdr:col>9</xdr:col>
      <xdr:colOff>63500</xdr:colOff>
      <xdr:row>309</xdr:row>
      <xdr:rowOff>182878</xdr:rowOff>
    </xdr:to>
    <xdr:sp macro="" textlink="">
      <xdr:nvSpPr>
        <xdr:cNvPr id="1130" name="nuNumber: 1159" hidden="1">
          <a:extLst>
            <a:ext uri="{FF2B5EF4-FFF2-40B4-BE49-F238E27FC236}">
              <a16:creationId xmlns:a16="http://schemas.microsoft.com/office/drawing/2014/main" id="{E355BB15-A285-4F85-BE9A-9601D7C9958A}"/>
            </a:ext>
          </a:extLst>
        </xdr:cNvPr>
        <xdr:cNvSpPr/>
      </xdr:nvSpPr>
      <xdr:spPr bwMode="auto">
        <a:xfrm>
          <a:off x="6467475" y="665848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309</xdr:row>
      <xdr:rowOff>119378</xdr:rowOff>
    </xdr:from>
    <xdr:to>
      <xdr:col>10</xdr:col>
      <xdr:colOff>63500</xdr:colOff>
      <xdr:row>309</xdr:row>
      <xdr:rowOff>182878</xdr:rowOff>
    </xdr:to>
    <xdr:sp macro="" textlink="">
      <xdr:nvSpPr>
        <xdr:cNvPr id="1131" name="nuNumber: 1160" hidden="1">
          <a:extLst>
            <a:ext uri="{FF2B5EF4-FFF2-40B4-BE49-F238E27FC236}">
              <a16:creationId xmlns:a16="http://schemas.microsoft.com/office/drawing/2014/main" id="{0F1A9CEA-BDAD-4A73-BC35-A6BB9CC24504}"/>
            </a:ext>
          </a:extLst>
        </xdr:cNvPr>
        <xdr:cNvSpPr/>
      </xdr:nvSpPr>
      <xdr:spPr bwMode="auto">
        <a:xfrm>
          <a:off x="7315200" y="665848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309</xdr:row>
      <xdr:rowOff>119378</xdr:rowOff>
    </xdr:from>
    <xdr:to>
      <xdr:col>11</xdr:col>
      <xdr:colOff>63500</xdr:colOff>
      <xdr:row>309</xdr:row>
      <xdr:rowOff>182878</xdr:rowOff>
    </xdr:to>
    <xdr:sp macro="" textlink="">
      <xdr:nvSpPr>
        <xdr:cNvPr id="1132" name="nuNumber: 1161" hidden="1">
          <a:extLst>
            <a:ext uri="{FF2B5EF4-FFF2-40B4-BE49-F238E27FC236}">
              <a16:creationId xmlns:a16="http://schemas.microsoft.com/office/drawing/2014/main" id="{7784218B-176B-4213-9967-B380C4647118}"/>
            </a:ext>
          </a:extLst>
        </xdr:cNvPr>
        <xdr:cNvSpPr/>
      </xdr:nvSpPr>
      <xdr:spPr bwMode="auto">
        <a:xfrm>
          <a:off x="8105775" y="665848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309</xdr:row>
      <xdr:rowOff>119378</xdr:rowOff>
    </xdr:from>
    <xdr:to>
      <xdr:col>12</xdr:col>
      <xdr:colOff>63500</xdr:colOff>
      <xdr:row>309</xdr:row>
      <xdr:rowOff>182878</xdr:rowOff>
    </xdr:to>
    <xdr:sp macro="" textlink="">
      <xdr:nvSpPr>
        <xdr:cNvPr id="1133" name="nuNumber: 1162" hidden="1">
          <a:extLst>
            <a:ext uri="{FF2B5EF4-FFF2-40B4-BE49-F238E27FC236}">
              <a16:creationId xmlns:a16="http://schemas.microsoft.com/office/drawing/2014/main" id="{04004AA4-9E2E-434A-AA58-FB0E043AE2B2}"/>
            </a:ext>
          </a:extLst>
        </xdr:cNvPr>
        <xdr:cNvSpPr/>
      </xdr:nvSpPr>
      <xdr:spPr bwMode="auto">
        <a:xfrm>
          <a:off x="8972550" y="665848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309</xdr:row>
      <xdr:rowOff>119378</xdr:rowOff>
    </xdr:from>
    <xdr:to>
      <xdr:col>13</xdr:col>
      <xdr:colOff>63500</xdr:colOff>
      <xdr:row>309</xdr:row>
      <xdr:rowOff>182878</xdr:rowOff>
    </xdr:to>
    <xdr:sp macro="" textlink="">
      <xdr:nvSpPr>
        <xdr:cNvPr id="1134" name="nuNumber: 1163" hidden="1">
          <a:extLst>
            <a:ext uri="{FF2B5EF4-FFF2-40B4-BE49-F238E27FC236}">
              <a16:creationId xmlns:a16="http://schemas.microsoft.com/office/drawing/2014/main" id="{CB9B4AFF-464B-48D3-8E70-B94E3E776582}"/>
            </a:ext>
          </a:extLst>
        </xdr:cNvPr>
        <xdr:cNvSpPr/>
      </xdr:nvSpPr>
      <xdr:spPr bwMode="auto">
        <a:xfrm>
          <a:off x="9753600" y="665848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309</xdr:row>
      <xdr:rowOff>119378</xdr:rowOff>
    </xdr:from>
    <xdr:to>
      <xdr:col>14</xdr:col>
      <xdr:colOff>63500</xdr:colOff>
      <xdr:row>309</xdr:row>
      <xdr:rowOff>182878</xdr:rowOff>
    </xdr:to>
    <xdr:sp macro="" textlink="">
      <xdr:nvSpPr>
        <xdr:cNvPr id="1135" name="nuNumber: 1164" hidden="1">
          <a:extLst>
            <a:ext uri="{FF2B5EF4-FFF2-40B4-BE49-F238E27FC236}">
              <a16:creationId xmlns:a16="http://schemas.microsoft.com/office/drawing/2014/main" id="{94B87CE7-6350-440F-92A7-D4B730BF0E27}"/>
            </a:ext>
          </a:extLst>
        </xdr:cNvPr>
        <xdr:cNvSpPr/>
      </xdr:nvSpPr>
      <xdr:spPr bwMode="auto">
        <a:xfrm>
          <a:off x="10515600" y="665848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309</xdr:row>
      <xdr:rowOff>119378</xdr:rowOff>
    </xdr:from>
    <xdr:to>
      <xdr:col>15</xdr:col>
      <xdr:colOff>63500</xdr:colOff>
      <xdr:row>309</xdr:row>
      <xdr:rowOff>182878</xdr:rowOff>
    </xdr:to>
    <xdr:sp macro="" textlink="">
      <xdr:nvSpPr>
        <xdr:cNvPr id="1136" name="nuNumber: 1165" hidden="1">
          <a:extLst>
            <a:ext uri="{FF2B5EF4-FFF2-40B4-BE49-F238E27FC236}">
              <a16:creationId xmlns:a16="http://schemas.microsoft.com/office/drawing/2014/main" id="{B166C4E8-9B39-42CC-9407-112EEA1E702A}"/>
            </a:ext>
          </a:extLst>
        </xdr:cNvPr>
        <xdr:cNvSpPr/>
      </xdr:nvSpPr>
      <xdr:spPr bwMode="auto">
        <a:xfrm>
          <a:off x="11325225" y="665848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309</xdr:row>
      <xdr:rowOff>119378</xdr:rowOff>
    </xdr:from>
    <xdr:to>
      <xdr:col>16</xdr:col>
      <xdr:colOff>63500</xdr:colOff>
      <xdr:row>309</xdr:row>
      <xdr:rowOff>182878</xdr:rowOff>
    </xdr:to>
    <xdr:sp macro="" textlink="">
      <xdr:nvSpPr>
        <xdr:cNvPr id="1137" name="nuNumber: 1166" hidden="1">
          <a:extLst>
            <a:ext uri="{FF2B5EF4-FFF2-40B4-BE49-F238E27FC236}">
              <a16:creationId xmlns:a16="http://schemas.microsoft.com/office/drawing/2014/main" id="{7C13E30E-550C-464D-8615-22893579EAF7}"/>
            </a:ext>
          </a:extLst>
        </xdr:cNvPr>
        <xdr:cNvSpPr/>
      </xdr:nvSpPr>
      <xdr:spPr bwMode="auto">
        <a:xfrm>
          <a:off x="12106275" y="665848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309</xdr:row>
      <xdr:rowOff>119378</xdr:rowOff>
    </xdr:from>
    <xdr:to>
      <xdr:col>17</xdr:col>
      <xdr:colOff>63500</xdr:colOff>
      <xdr:row>309</xdr:row>
      <xdr:rowOff>182878</xdr:rowOff>
    </xdr:to>
    <xdr:sp macro="" textlink="">
      <xdr:nvSpPr>
        <xdr:cNvPr id="1138" name="nuNumber: 1167" hidden="1">
          <a:extLst>
            <a:ext uri="{FF2B5EF4-FFF2-40B4-BE49-F238E27FC236}">
              <a16:creationId xmlns:a16="http://schemas.microsoft.com/office/drawing/2014/main" id="{D3E05786-161D-4FDD-ACAD-C31D83F5CE52}"/>
            </a:ext>
          </a:extLst>
        </xdr:cNvPr>
        <xdr:cNvSpPr/>
      </xdr:nvSpPr>
      <xdr:spPr bwMode="auto">
        <a:xfrm>
          <a:off x="12887325" y="665848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309</xdr:row>
      <xdr:rowOff>119378</xdr:rowOff>
    </xdr:from>
    <xdr:to>
      <xdr:col>18</xdr:col>
      <xdr:colOff>63499</xdr:colOff>
      <xdr:row>309</xdr:row>
      <xdr:rowOff>182878</xdr:rowOff>
    </xdr:to>
    <xdr:sp macro="" textlink="">
      <xdr:nvSpPr>
        <xdr:cNvPr id="1139" name="nuNumber: 1168" hidden="1">
          <a:extLst>
            <a:ext uri="{FF2B5EF4-FFF2-40B4-BE49-F238E27FC236}">
              <a16:creationId xmlns:a16="http://schemas.microsoft.com/office/drawing/2014/main" id="{97EE2C08-B282-44B0-ADA5-76DE9ECE826D}"/>
            </a:ext>
          </a:extLst>
        </xdr:cNvPr>
        <xdr:cNvSpPr/>
      </xdr:nvSpPr>
      <xdr:spPr bwMode="auto">
        <a:xfrm>
          <a:off x="13624559" y="66584828"/>
          <a:ext cx="5969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309</xdr:row>
      <xdr:rowOff>119378</xdr:rowOff>
    </xdr:from>
    <xdr:to>
      <xdr:col>19</xdr:col>
      <xdr:colOff>63500</xdr:colOff>
      <xdr:row>309</xdr:row>
      <xdr:rowOff>182878</xdr:rowOff>
    </xdr:to>
    <xdr:sp macro="" textlink="">
      <xdr:nvSpPr>
        <xdr:cNvPr id="1140" name="nuNumber: 1169" hidden="1">
          <a:extLst>
            <a:ext uri="{FF2B5EF4-FFF2-40B4-BE49-F238E27FC236}">
              <a16:creationId xmlns:a16="http://schemas.microsoft.com/office/drawing/2014/main" id="{876BE29C-03B8-408C-8074-4778A5E00B99}"/>
            </a:ext>
          </a:extLst>
        </xdr:cNvPr>
        <xdr:cNvSpPr/>
      </xdr:nvSpPr>
      <xdr:spPr bwMode="auto">
        <a:xfrm>
          <a:off x="14382750" y="665848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309</xdr:row>
      <xdr:rowOff>119378</xdr:rowOff>
    </xdr:from>
    <xdr:to>
      <xdr:col>21</xdr:col>
      <xdr:colOff>63500</xdr:colOff>
      <xdr:row>309</xdr:row>
      <xdr:rowOff>182878</xdr:rowOff>
    </xdr:to>
    <xdr:sp macro="" textlink="">
      <xdr:nvSpPr>
        <xdr:cNvPr id="1141" name="nuNumber: 1170" hidden="1">
          <a:extLst>
            <a:ext uri="{FF2B5EF4-FFF2-40B4-BE49-F238E27FC236}">
              <a16:creationId xmlns:a16="http://schemas.microsoft.com/office/drawing/2014/main" id="{F52F4D2E-24DE-46F2-ACE2-A9DEB9F1D535}"/>
            </a:ext>
          </a:extLst>
        </xdr:cNvPr>
        <xdr:cNvSpPr/>
      </xdr:nvSpPr>
      <xdr:spPr bwMode="auto">
        <a:xfrm>
          <a:off x="15849600" y="665848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309</xdr:row>
      <xdr:rowOff>119378</xdr:rowOff>
    </xdr:from>
    <xdr:to>
      <xdr:col>30</xdr:col>
      <xdr:colOff>63499</xdr:colOff>
      <xdr:row>309</xdr:row>
      <xdr:rowOff>182878</xdr:rowOff>
    </xdr:to>
    <xdr:sp macro="" textlink="">
      <xdr:nvSpPr>
        <xdr:cNvPr id="1142" name="nuNumber: 1171" hidden="1">
          <a:extLst>
            <a:ext uri="{FF2B5EF4-FFF2-40B4-BE49-F238E27FC236}">
              <a16:creationId xmlns:a16="http://schemas.microsoft.com/office/drawing/2014/main" id="{B5F7927C-0603-47C2-9052-9C461C7582FA}"/>
            </a:ext>
          </a:extLst>
        </xdr:cNvPr>
        <xdr:cNvSpPr/>
      </xdr:nvSpPr>
      <xdr:spPr bwMode="auto">
        <a:xfrm>
          <a:off x="22242779" y="66584828"/>
          <a:ext cx="61595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309</xdr:row>
      <xdr:rowOff>119378</xdr:rowOff>
    </xdr:from>
    <xdr:to>
      <xdr:col>31</xdr:col>
      <xdr:colOff>63500</xdr:colOff>
      <xdr:row>309</xdr:row>
      <xdr:rowOff>182878</xdr:rowOff>
    </xdr:to>
    <xdr:sp macro="" textlink="">
      <xdr:nvSpPr>
        <xdr:cNvPr id="1143" name="nuNumber: 1172" hidden="1">
          <a:extLst>
            <a:ext uri="{FF2B5EF4-FFF2-40B4-BE49-F238E27FC236}">
              <a16:creationId xmlns:a16="http://schemas.microsoft.com/office/drawing/2014/main" id="{8AA4BA99-E6CF-4EA3-87D6-9222B08BACA2}"/>
            </a:ext>
          </a:extLst>
        </xdr:cNvPr>
        <xdr:cNvSpPr/>
      </xdr:nvSpPr>
      <xdr:spPr bwMode="auto">
        <a:xfrm>
          <a:off x="23383875" y="665848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310</xdr:row>
      <xdr:rowOff>119382</xdr:rowOff>
    </xdr:from>
    <xdr:to>
      <xdr:col>6</xdr:col>
      <xdr:colOff>63500</xdr:colOff>
      <xdr:row>311</xdr:row>
      <xdr:rowOff>2</xdr:rowOff>
    </xdr:to>
    <xdr:sp macro="" textlink="">
      <xdr:nvSpPr>
        <xdr:cNvPr id="1144" name="nuNumber: 1173" hidden="1">
          <a:extLst>
            <a:ext uri="{FF2B5EF4-FFF2-40B4-BE49-F238E27FC236}">
              <a16:creationId xmlns:a16="http://schemas.microsoft.com/office/drawing/2014/main" id="{53E78CF2-FC51-464F-8CA3-CD053C53D2FA}"/>
            </a:ext>
          </a:extLst>
        </xdr:cNvPr>
        <xdr:cNvSpPr/>
      </xdr:nvSpPr>
      <xdr:spPr bwMode="auto">
        <a:xfrm>
          <a:off x="3800475" y="667943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310</xdr:row>
      <xdr:rowOff>119382</xdr:rowOff>
    </xdr:from>
    <xdr:to>
      <xdr:col>7</xdr:col>
      <xdr:colOff>63500</xdr:colOff>
      <xdr:row>311</xdr:row>
      <xdr:rowOff>2</xdr:rowOff>
    </xdr:to>
    <xdr:sp macro="" textlink="">
      <xdr:nvSpPr>
        <xdr:cNvPr id="1145" name="nuNumber: 1174" hidden="1">
          <a:extLst>
            <a:ext uri="{FF2B5EF4-FFF2-40B4-BE49-F238E27FC236}">
              <a16:creationId xmlns:a16="http://schemas.microsoft.com/office/drawing/2014/main" id="{C79014DA-DAC9-4B2E-A132-227E604F7090}"/>
            </a:ext>
          </a:extLst>
        </xdr:cNvPr>
        <xdr:cNvSpPr/>
      </xdr:nvSpPr>
      <xdr:spPr bwMode="auto">
        <a:xfrm>
          <a:off x="4676775" y="667943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310</xdr:row>
      <xdr:rowOff>119382</xdr:rowOff>
    </xdr:from>
    <xdr:to>
      <xdr:col>8</xdr:col>
      <xdr:colOff>63500</xdr:colOff>
      <xdr:row>311</xdr:row>
      <xdr:rowOff>2</xdr:rowOff>
    </xdr:to>
    <xdr:sp macro="" textlink="">
      <xdr:nvSpPr>
        <xdr:cNvPr id="1146" name="nuNumber: 1175" hidden="1">
          <a:extLst>
            <a:ext uri="{FF2B5EF4-FFF2-40B4-BE49-F238E27FC236}">
              <a16:creationId xmlns:a16="http://schemas.microsoft.com/office/drawing/2014/main" id="{324FBB67-9D74-4191-ACBC-381FEA6F7139}"/>
            </a:ext>
          </a:extLst>
        </xdr:cNvPr>
        <xdr:cNvSpPr/>
      </xdr:nvSpPr>
      <xdr:spPr bwMode="auto">
        <a:xfrm>
          <a:off x="5562600" y="667943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310</xdr:row>
      <xdr:rowOff>119382</xdr:rowOff>
    </xdr:from>
    <xdr:to>
      <xdr:col>9</xdr:col>
      <xdr:colOff>63500</xdr:colOff>
      <xdr:row>311</xdr:row>
      <xdr:rowOff>2</xdr:rowOff>
    </xdr:to>
    <xdr:sp macro="" textlink="">
      <xdr:nvSpPr>
        <xdr:cNvPr id="1147" name="nuNumber: 1176" hidden="1">
          <a:extLst>
            <a:ext uri="{FF2B5EF4-FFF2-40B4-BE49-F238E27FC236}">
              <a16:creationId xmlns:a16="http://schemas.microsoft.com/office/drawing/2014/main" id="{9EF097B0-10FF-4957-8B35-DB96FAE8D204}"/>
            </a:ext>
          </a:extLst>
        </xdr:cNvPr>
        <xdr:cNvSpPr/>
      </xdr:nvSpPr>
      <xdr:spPr bwMode="auto">
        <a:xfrm>
          <a:off x="6467475" y="667943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310</xdr:row>
      <xdr:rowOff>119382</xdr:rowOff>
    </xdr:from>
    <xdr:to>
      <xdr:col>9</xdr:col>
      <xdr:colOff>63500</xdr:colOff>
      <xdr:row>311</xdr:row>
      <xdr:rowOff>2</xdr:rowOff>
    </xdr:to>
    <xdr:sp macro="" textlink="">
      <xdr:nvSpPr>
        <xdr:cNvPr id="1148" name="nuNumber: 1177" hidden="1">
          <a:extLst>
            <a:ext uri="{FF2B5EF4-FFF2-40B4-BE49-F238E27FC236}">
              <a16:creationId xmlns:a16="http://schemas.microsoft.com/office/drawing/2014/main" id="{CEDCCB24-DBEB-445C-BEA5-5007F3474421}"/>
            </a:ext>
          </a:extLst>
        </xdr:cNvPr>
        <xdr:cNvSpPr/>
      </xdr:nvSpPr>
      <xdr:spPr bwMode="auto">
        <a:xfrm>
          <a:off x="6467475" y="667943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310</xdr:row>
      <xdr:rowOff>119382</xdr:rowOff>
    </xdr:from>
    <xdr:to>
      <xdr:col>10</xdr:col>
      <xdr:colOff>63500</xdr:colOff>
      <xdr:row>311</xdr:row>
      <xdr:rowOff>2</xdr:rowOff>
    </xdr:to>
    <xdr:sp macro="" textlink="">
      <xdr:nvSpPr>
        <xdr:cNvPr id="1149" name="nuNumber: 1178" hidden="1">
          <a:extLst>
            <a:ext uri="{FF2B5EF4-FFF2-40B4-BE49-F238E27FC236}">
              <a16:creationId xmlns:a16="http://schemas.microsoft.com/office/drawing/2014/main" id="{180B0E44-060F-4E47-8257-0B0D760B3C6C}"/>
            </a:ext>
          </a:extLst>
        </xdr:cNvPr>
        <xdr:cNvSpPr/>
      </xdr:nvSpPr>
      <xdr:spPr bwMode="auto">
        <a:xfrm>
          <a:off x="7315200" y="667943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310</xdr:row>
      <xdr:rowOff>119382</xdr:rowOff>
    </xdr:from>
    <xdr:to>
      <xdr:col>11</xdr:col>
      <xdr:colOff>63500</xdr:colOff>
      <xdr:row>311</xdr:row>
      <xdr:rowOff>2</xdr:rowOff>
    </xdr:to>
    <xdr:sp macro="" textlink="">
      <xdr:nvSpPr>
        <xdr:cNvPr id="1150" name="nuNumber: 1179" hidden="1">
          <a:extLst>
            <a:ext uri="{FF2B5EF4-FFF2-40B4-BE49-F238E27FC236}">
              <a16:creationId xmlns:a16="http://schemas.microsoft.com/office/drawing/2014/main" id="{7FAF4D25-D246-489A-B263-113E0CABE1B8}"/>
            </a:ext>
          </a:extLst>
        </xdr:cNvPr>
        <xdr:cNvSpPr/>
      </xdr:nvSpPr>
      <xdr:spPr bwMode="auto">
        <a:xfrm>
          <a:off x="8105775" y="667943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310</xdr:row>
      <xdr:rowOff>119382</xdr:rowOff>
    </xdr:from>
    <xdr:to>
      <xdr:col>12</xdr:col>
      <xdr:colOff>63500</xdr:colOff>
      <xdr:row>311</xdr:row>
      <xdr:rowOff>2</xdr:rowOff>
    </xdr:to>
    <xdr:sp macro="" textlink="">
      <xdr:nvSpPr>
        <xdr:cNvPr id="1151" name="nuNumber: 1180" hidden="1">
          <a:extLst>
            <a:ext uri="{FF2B5EF4-FFF2-40B4-BE49-F238E27FC236}">
              <a16:creationId xmlns:a16="http://schemas.microsoft.com/office/drawing/2014/main" id="{0973D46D-8629-4EBB-995C-40179A931D21}"/>
            </a:ext>
          </a:extLst>
        </xdr:cNvPr>
        <xdr:cNvSpPr/>
      </xdr:nvSpPr>
      <xdr:spPr bwMode="auto">
        <a:xfrm>
          <a:off x="8972550" y="667943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310</xdr:row>
      <xdr:rowOff>119382</xdr:rowOff>
    </xdr:from>
    <xdr:to>
      <xdr:col>13</xdr:col>
      <xdr:colOff>63500</xdr:colOff>
      <xdr:row>311</xdr:row>
      <xdr:rowOff>2</xdr:rowOff>
    </xdr:to>
    <xdr:sp macro="" textlink="">
      <xdr:nvSpPr>
        <xdr:cNvPr id="1152" name="nuNumber: 1181" hidden="1">
          <a:extLst>
            <a:ext uri="{FF2B5EF4-FFF2-40B4-BE49-F238E27FC236}">
              <a16:creationId xmlns:a16="http://schemas.microsoft.com/office/drawing/2014/main" id="{A8114C61-DB90-46A2-8DE1-B5B1DE3F6B27}"/>
            </a:ext>
          </a:extLst>
        </xdr:cNvPr>
        <xdr:cNvSpPr/>
      </xdr:nvSpPr>
      <xdr:spPr bwMode="auto">
        <a:xfrm>
          <a:off x="9753600" y="667943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310</xdr:row>
      <xdr:rowOff>119382</xdr:rowOff>
    </xdr:from>
    <xdr:to>
      <xdr:col>14</xdr:col>
      <xdr:colOff>63500</xdr:colOff>
      <xdr:row>311</xdr:row>
      <xdr:rowOff>2</xdr:rowOff>
    </xdr:to>
    <xdr:sp macro="" textlink="">
      <xdr:nvSpPr>
        <xdr:cNvPr id="1153" name="nuNumber: 1182" hidden="1">
          <a:extLst>
            <a:ext uri="{FF2B5EF4-FFF2-40B4-BE49-F238E27FC236}">
              <a16:creationId xmlns:a16="http://schemas.microsoft.com/office/drawing/2014/main" id="{57ACD75E-0B5F-4EAB-A21B-656632228244}"/>
            </a:ext>
          </a:extLst>
        </xdr:cNvPr>
        <xdr:cNvSpPr/>
      </xdr:nvSpPr>
      <xdr:spPr bwMode="auto">
        <a:xfrm>
          <a:off x="10515600" y="667943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310</xdr:row>
      <xdr:rowOff>119382</xdr:rowOff>
    </xdr:from>
    <xdr:to>
      <xdr:col>15</xdr:col>
      <xdr:colOff>63500</xdr:colOff>
      <xdr:row>311</xdr:row>
      <xdr:rowOff>2</xdr:rowOff>
    </xdr:to>
    <xdr:sp macro="" textlink="">
      <xdr:nvSpPr>
        <xdr:cNvPr id="1154" name="nuNumber: 1183" hidden="1">
          <a:extLst>
            <a:ext uri="{FF2B5EF4-FFF2-40B4-BE49-F238E27FC236}">
              <a16:creationId xmlns:a16="http://schemas.microsoft.com/office/drawing/2014/main" id="{0187304D-4E49-425F-BDEA-88CA1C30F7BF}"/>
            </a:ext>
          </a:extLst>
        </xdr:cNvPr>
        <xdr:cNvSpPr/>
      </xdr:nvSpPr>
      <xdr:spPr bwMode="auto">
        <a:xfrm>
          <a:off x="11325225" y="667943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310</xdr:row>
      <xdr:rowOff>119382</xdr:rowOff>
    </xdr:from>
    <xdr:to>
      <xdr:col>16</xdr:col>
      <xdr:colOff>63500</xdr:colOff>
      <xdr:row>311</xdr:row>
      <xdr:rowOff>2</xdr:rowOff>
    </xdr:to>
    <xdr:sp macro="" textlink="">
      <xdr:nvSpPr>
        <xdr:cNvPr id="1155" name="nuNumber: 1184" hidden="1">
          <a:extLst>
            <a:ext uri="{FF2B5EF4-FFF2-40B4-BE49-F238E27FC236}">
              <a16:creationId xmlns:a16="http://schemas.microsoft.com/office/drawing/2014/main" id="{5EB0B8C1-4250-4403-8A01-C4E1B48659E2}"/>
            </a:ext>
          </a:extLst>
        </xdr:cNvPr>
        <xdr:cNvSpPr/>
      </xdr:nvSpPr>
      <xdr:spPr bwMode="auto">
        <a:xfrm>
          <a:off x="12106275" y="667943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310</xdr:row>
      <xdr:rowOff>119382</xdr:rowOff>
    </xdr:from>
    <xdr:to>
      <xdr:col>17</xdr:col>
      <xdr:colOff>63500</xdr:colOff>
      <xdr:row>311</xdr:row>
      <xdr:rowOff>2</xdr:rowOff>
    </xdr:to>
    <xdr:sp macro="" textlink="">
      <xdr:nvSpPr>
        <xdr:cNvPr id="1156" name="nuNumber: 1185" hidden="1">
          <a:extLst>
            <a:ext uri="{FF2B5EF4-FFF2-40B4-BE49-F238E27FC236}">
              <a16:creationId xmlns:a16="http://schemas.microsoft.com/office/drawing/2014/main" id="{A5AA8DD2-F70D-4C49-9EC6-05D201AC3405}"/>
            </a:ext>
          </a:extLst>
        </xdr:cNvPr>
        <xdr:cNvSpPr/>
      </xdr:nvSpPr>
      <xdr:spPr bwMode="auto">
        <a:xfrm>
          <a:off x="12887325" y="667943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310</xdr:row>
      <xdr:rowOff>119382</xdr:rowOff>
    </xdr:from>
    <xdr:to>
      <xdr:col>19</xdr:col>
      <xdr:colOff>63500</xdr:colOff>
      <xdr:row>311</xdr:row>
      <xdr:rowOff>2</xdr:rowOff>
    </xdr:to>
    <xdr:sp macro="" textlink="">
      <xdr:nvSpPr>
        <xdr:cNvPr id="1157" name="nuNumber: 1186" hidden="1">
          <a:extLst>
            <a:ext uri="{FF2B5EF4-FFF2-40B4-BE49-F238E27FC236}">
              <a16:creationId xmlns:a16="http://schemas.microsoft.com/office/drawing/2014/main" id="{0B1F8A25-E2A5-44D6-AF04-18C26F8E3FF3}"/>
            </a:ext>
          </a:extLst>
        </xdr:cNvPr>
        <xdr:cNvSpPr/>
      </xdr:nvSpPr>
      <xdr:spPr bwMode="auto">
        <a:xfrm>
          <a:off x="14382750" y="667943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310</xdr:row>
      <xdr:rowOff>119382</xdr:rowOff>
    </xdr:from>
    <xdr:to>
      <xdr:col>20</xdr:col>
      <xdr:colOff>63500</xdr:colOff>
      <xdr:row>311</xdr:row>
      <xdr:rowOff>2</xdr:rowOff>
    </xdr:to>
    <xdr:sp macro="" textlink="">
      <xdr:nvSpPr>
        <xdr:cNvPr id="1158" name="nuNumber: 1187" hidden="1">
          <a:extLst>
            <a:ext uri="{FF2B5EF4-FFF2-40B4-BE49-F238E27FC236}">
              <a16:creationId xmlns:a16="http://schemas.microsoft.com/office/drawing/2014/main" id="{E6A65104-6CB9-4B18-9C22-FAC71D24A89E}"/>
            </a:ext>
          </a:extLst>
        </xdr:cNvPr>
        <xdr:cNvSpPr/>
      </xdr:nvSpPr>
      <xdr:spPr bwMode="auto">
        <a:xfrm>
          <a:off x="15135225" y="667943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310</xdr:row>
      <xdr:rowOff>119382</xdr:rowOff>
    </xdr:from>
    <xdr:to>
      <xdr:col>21</xdr:col>
      <xdr:colOff>63500</xdr:colOff>
      <xdr:row>311</xdr:row>
      <xdr:rowOff>2</xdr:rowOff>
    </xdr:to>
    <xdr:sp macro="" textlink="">
      <xdr:nvSpPr>
        <xdr:cNvPr id="1159" name="nuNumber: 1188" hidden="1">
          <a:extLst>
            <a:ext uri="{FF2B5EF4-FFF2-40B4-BE49-F238E27FC236}">
              <a16:creationId xmlns:a16="http://schemas.microsoft.com/office/drawing/2014/main" id="{A3D0E34C-EE5E-4FAD-BA38-3708D62B29D4}"/>
            </a:ext>
          </a:extLst>
        </xdr:cNvPr>
        <xdr:cNvSpPr/>
      </xdr:nvSpPr>
      <xdr:spPr bwMode="auto">
        <a:xfrm>
          <a:off x="15849600" y="667943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310</xdr:row>
      <xdr:rowOff>119382</xdr:rowOff>
    </xdr:from>
    <xdr:to>
      <xdr:col>30</xdr:col>
      <xdr:colOff>63499</xdr:colOff>
      <xdr:row>311</xdr:row>
      <xdr:rowOff>2</xdr:rowOff>
    </xdr:to>
    <xdr:sp macro="" textlink="">
      <xdr:nvSpPr>
        <xdr:cNvPr id="1160" name="nuNumber: 1189" hidden="1">
          <a:extLst>
            <a:ext uri="{FF2B5EF4-FFF2-40B4-BE49-F238E27FC236}">
              <a16:creationId xmlns:a16="http://schemas.microsoft.com/office/drawing/2014/main" id="{1839E345-3C86-421A-B40A-96501E7BF7C4}"/>
            </a:ext>
          </a:extLst>
        </xdr:cNvPr>
        <xdr:cNvSpPr/>
      </xdr:nvSpPr>
      <xdr:spPr bwMode="auto">
        <a:xfrm>
          <a:off x="22242779" y="66794382"/>
          <a:ext cx="61595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310</xdr:row>
      <xdr:rowOff>119382</xdr:rowOff>
    </xdr:from>
    <xdr:to>
      <xdr:col>31</xdr:col>
      <xdr:colOff>63500</xdr:colOff>
      <xdr:row>311</xdr:row>
      <xdr:rowOff>2</xdr:rowOff>
    </xdr:to>
    <xdr:sp macro="" textlink="">
      <xdr:nvSpPr>
        <xdr:cNvPr id="1161" name="nuNumber: 1190" hidden="1">
          <a:extLst>
            <a:ext uri="{FF2B5EF4-FFF2-40B4-BE49-F238E27FC236}">
              <a16:creationId xmlns:a16="http://schemas.microsoft.com/office/drawing/2014/main" id="{23CD9937-C1C4-4E13-85AC-757C9703A808}"/>
            </a:ext>
          </a:extLst>
        </xdr:cNvPr>
        <xdr:cNvSpPr/>
      </xdr:nvSpPr>
      <xdr:spPr bwMode="auto">
        <a:xfrm>
          <a:off x="23383875" y="667943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318</xdr:row>
      <xdr:rowOff>119381</xdr:rowOff>
    </xdr:from>
    <xdr:to>
      <xdr:col>30</xdr:col>
      <xdr:colOff>63499</xdr:colOff>
      <xdr:row>319</xdr:row>
      <xdr:rowOff>1</xdr:rowOff>
    </xdr:to>
    <xdr:sp macro="" textlink="">
      <xdr:nvSpPr>
        <xdr:cNvPr id="1162" name="nuNumber: 1191" hidden="1">
          <a:extLst>
            <a:ext uri="{FF2B5EF4-FFF2-40B4-BE49-F238E27FC236}">
              <a16:creationId xmlns:a16="http://schemas.microsoft.com/office/drawing/2014/main" id="{EFA1BB64-4969-4016-B6E7-ACBF48552F52}"/>
            </a:ext>
          </a:extLst>
        </xdr:cNvPr>
        <xdr:cNvSpPr/>
      </xdr:nvSpPr>
      <xdr:spPr bwMode="auto">
        <a:xfrm>
          <a:off x="22242779" y="68680331"/>
          <a:ext cx="61595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318</xdr:row>
      <xdr:rowOff>119381</xdr:rowOff>
    </xdr:from>
    <xdr:to>
      <xdr:col>31</xdr:col>
      <xdr:colOff>63500</xdr:colOff>
      <xdr:row>319</xdr:row>
      <xdr:rowOff>1</xdr:rowOff>
    </xdr:to>
    <xdr:sp macro="" textlink="">
      <xdr:nvSpPr>
        <xdr:cNvPr id="1163" name="nuNumber: 1192" hidden="1">
          <a:extLst>
            <a:ext uri="{FF2B5EF4-FFF2-40B4-BE49-F238E27FC236}">
              <a16:creationId xmlns:a16="http://schemas.microsoft.com/office/drawing/2014/main" id="{FA99CC62-6DC1-45C8-B3E5-288052BD4020}"/>
            </a:ext>
          </a:extLst>
        </xdr:cNvPr>
        <xdr:cNvSpPr/>
      </xdr:nvSpPr>
      <xdr:spPr bwMode="auto">
        <a:xfrm>
          <a:off x="23383875" y="6868033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182879</xdr:colOff>
      <xdr:row>319</xdr:row>
      <xdr:rowOff>119380</xdr:rowOff>
    </xdr:from>
    <xdr:to>
      <xdr:col>30</xdr:col>
      <xdr:colOff>63499</xdr:colOff>
      <xdr:row>320</xdr:row>
      <xdr:rowOff>0</xdr:rowOff>
    </xdr:to>
    <xdr:sp macro="" textlink="">
      <xdr:nvSpPr>
        <xdr:cNvPr id="1164" name="nuNumber: 1193" hidden="1">
          <a:extLst>
            <a:ext uri="{FF2B5EF4-FFF2-40B4-BE49-F238E27FC236}">
              <a16:creationId xmlns:a16="http://schemas.microsoft.com/office/drawing/2014/main" id="{E7C8FA72-CA2A-43BA-9C71-F2C38F46276B}"/>
            </a:ext>
          </a:extLst>
        </xdr:cNvPr>
        <xdr:cNvSpPr/>
      </xdr:nvSpPr>
      <xdr:spPr bwMode="auto">
        <a:xfrm>
          <a:off x="22242779" y="68889880"/>
          <a:ext cx="61595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0</xdr:colOff>
      <xdr:row>319</xdr:row>
      <xdr:rowOff>119380</xdr:rowOff>
    </xdr:from>
    <xdr:to>
      <xdr:col>31</xdr:col>
      <xdr:colOff>63500</xdr:colOff>
      <xdr:row>320</xdr:row>
      <xdr:rowOff>0</xdr:rowOff>
    </xdr:to>
    <xdr:sp macro="" textlink="">
      <xdr:nvSpPr>
        <xdr:cNvPr id="1165" name="nuNumber: 1194" hidden="1">
          <a:extLst>
            <a:ext uri="{FF2B5EF4-FFF2-40B4-BE49-F238E27FC236}">
              <a16:creationId xmlns:a16="http://schemas.microsoft.com/office/drawing/2014/main" id="{1F1B1977-6C98-4482-BD8D-5C0CAEFD6D85}"/>
            </a:ext>
          </a:extLst>
        </xdr:cNvPr>
        <xdr:cNvSpPr/>
      </xdr:nvSpPr>
      <xdr:spPr bwMode="auto">
        <a:xfrm>
          <a:off x="23383875" y="688898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348</xdr:row>
      <xdr:rowOff>119378</xdr:rowOff>
    </xdr:from>
    <xdr:to>
      <xdr:col>9</xdr:col>
      <xdr:colOff>63500</xdr:colOff>
      <xdr:row>348</xdr:row>
      <xdr:rowOff>182878</xdr:rowOff>
    </xdr:to>
    <xdr:sp macro="" textlink="">
      <xdr:nvSpPr>
        <xdr:cNvPr id="1166" name="nuNumber: 1195" hidden="1">
          <a:extLst>
            <a:ext uri="{FF2B5EF4-FFF2-40B4-BE49-F238E27FC236}">
              <a16:creationId xmlns:a16="http://schemas.microsoft.com/office/drawing/2014/main" id="{784EF152-DFAA-4A8F-B327-A228C7C04C39}"/>
            </a:ext>
          </a:extLst>
        </xdr:cNvPr>
        <xdr:cNvSpPr/>
      </xdr:nvSpPr>
      <xdr:spPr bwMode="auto">
        <a:xfrm>
          <a:off x="6467475" y="7498587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348</xdr:row>
      <xdr:rowOff>119378</xdr:rowOff>
    </xdr:from>
    <xdr:to>
      <xdr:col>12</xdr:col>
      <xdr:colOff>63500</xdr:colOff>
      <xdr:row>348</xdr:row>
      <xdr:rowOff>182878</xdr:rowOff>
    </xdr:to>
    <xdr:sp macro="" textlink="">
      <xdr:nvSpPr>
        <xdr:cNvPr id="1167" name="nuNumber: 1196" hidden="1">
          <a:extLst>
            <a:ext uri="{FF2B5EF4-FFF2-40B4-BE49-F238E27FC236}">
              <a16:creationId xmlns:a16="http://schemas.microsoft.com/office/drawing/2014/main" id="{F042AAFD-2672-448C-82F9-13179E66AF8B}"/>
            </a:ext>
          </a:extLst>
        </xdr:cNvPr>
        <xdr:cNvSpPr/>
      </xdr:nvSpPr>
      <xdr:spPr bwMode="auto">
        <a:xfrm>
          <a:off x="8972550" y="7498587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348</xdr:row>
      <xdr:rowOff>119378</xdr:rowOff>
    </xdr:from>
    <xdr:to>
      <xdr:col>14</xdr:col>
      <xdr:colOff>63500</xdr:colOff>
      <xdr:row>348</xdr:row>
      <xdr:rowOff>182878</xdr:rowOff>
    </xdr:to>
    <xdr:sp macro="" textlink="">
      <xdr:nvSpPr>
        <xdr:cNvPr id="1168" name="nuNumber: 1197" hidden="1">
          <a:extLst>
            <a:ext uri="{FF2B5EF4-FFF2-40B4-BE49-F238E27FC236}">
              <a16:creationId xmlns:a16="http://schemas.microsoft.com/office/drawing/2014/main" id="{BDC1C44D-76F4-4C4B-BECF-085FBE04402B}"/>
            </a:ext>
          </a:extLst>
        </xdr:cNvPr>
        <xdr:cNvSpPr/>
      </xdr:nvSpPr>
      <xdr:spPr bwMode="auto">
        <a:xfrm>
          <a:off x="10515600" y="7498587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348</xdr:row>
      <xdr:rowOff>119378</xdr:rowOff>
    </xdr:from>
    <xdr:to>
      <xdr:col>16</xdr:col>
      <xdr:colOff>63500</xdr:colOff>
      <xdr:row>348</xdr:row>
      <xdr:rowOff>182878</xdr:rowOff>
    </xdr:to>
    <xdr:sp macro="" textlink="">
      <xdr:nvSpPr>
        <xdr:cNvPr id="1169" name="nuNumber: 1198" hidden="1">
          <a:extLst>
            <a:ext uri="{FF2B5EF4-FFF2-40B4-BE49-F238E27FC236}">
              <a16:creationId xmlns:a16="http://schemas.microsoft.com/office/drawing/2014/main" id="{597A36C8-AFD6-402B-9B68-2383C46C7ABF}"/>
            </a:ext>
          </a:extLst>
        </xdr:cNvPr>
        <xdr:cNvSpPr/>
      </xdr:nvSpPr>
      <xdr:spPr bwMode="auto">
        <a:xfrm>
          <a:off x="12106275" y="7498587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348</xdr:row>
      <xdr:rowOff>119378</xdr:rowOff>
    </xdr:from>
    <xdr:to>
      <xdr:col>19</xdr:col>
      <xdr:colOff>63500</xdr:colOff>
      <xdr:row>348</xdr:row>
      <xdr:rowOff>182878</xdr:rowOff>
    </xdr:to>
    <xdr:sp macro="" textlink="">
      <xdr:nvSpPr>
        <xdr:cNvPr id="1170" name="nuNumber: 1199" hidden="1">
          <a:extLst>
            <a:ext uri="{FF2B5EF4-FFF2-40B4-BE49-F238E27FC236}">
              <a16:creationId xmlns:a16="http://schemas.microsoft.com/office/drawing/2014/main" id="{5F01AD55-9A24-44A2-9109-7B08BD8E987D}"/>
            </a:ext>
          </a:extLst>
        </xdr:cNvPr>
        <xdr:cNvSpPr/>
      </xdr:nvSpPr>
      <xdr:spPr bwMode="auto">
        <a:xfrm>
          <a:off x="14382750" y="7498587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348</xdr:row>
      <xdr:rowOff>119378</xdr:rowOff>
    </xdr:from>
    <xdr:to>
      <xdr:col>20</xdr:col>
      <xdr:colOff>63500</xdr:colOff>
      <xdr:row>348</xdr:row>
      <xdr:rowOff>182878</xdr:rowOff>
    </xdr:to>
    <xdr:sp macro="" textlink="">
      <xdr:nvSpPr>
        <xdr:cNvPr id="1171" name="nuNumber: 1200" hidden="1">
          <a:extLst>
            <a:ext uri="{FF2B5EF4-FFF2-40B4-BE49-F238E27FC236}">
              <a16:creationId xmlns:a16="http://schemas.microsoft.com/office/drawing/2014/main" id="{D98E18E0-1AB1-4606-A82F-567EA869F123}"/>
            </a:ext>
          </a:extLst>
        </xdr:cNvPr>
        <xdr:cNvSpPr/>
      </xdr:nvSpPr>
      <xdr:spPr bwMode="auto">
        <a:xfrm>
          <a:off x="15135225" y="7498587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348</xdr:row>
      <xdr:rowOff>119378</xdr:rowOff>
    </xdr:from>
    <xdr:to>
      <xdr:col>21</xdr:col>
      <xdr:colOff>63500</xdr:colOff>
      <xdr:row>348</xdr:row>
      <xdr:rowOff>182878</xdr:rowOff>
    </xdr:to>
    <xdr:sp macro="" textlink="">
      <xdr:nvSpPr>
        <xdr:cNvPr id="1172" name="nuNumber: 1201" hidden="1">
          <a:extLst>
            <a:ext uri="{FF2B5EF4-FFF2-40B4-BE49-F238E27FC236}">
              <a16:creationId xmlns:a16="http://schemas.microsoft.com/office/drawing/2014/main" id="{E8EFD721-5F95-414E-8224-B7D38EF0D1EA}"/>
            </a:ext>
          </a:extLst>
        </xdr:cNvPr>
        <xdr:cNvSpPr/>
      </xdr:nvSpPr>
      <xdr:spPr bwMode="auto">
        <a:xfrm>
          <a:off x="15849600" y="7498587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349</xdr:row>
      <xdr:rowOff>119382</xdr:rowOff>
    </xdr:from>
    <xdr:to>
      <xdr:col>9</xdr:col>
      <xdr:colOff>63500</xdr:colOff>
      <xdr:row>350</xdr:row>
      <xdr:rowOff>2</xdr:rowOff>
    </xdr:to>
    <xdr:sp macro="" textlink="">
      <xdr:nvSpPr>
        <xdr:cNvPr id="1173" name="nuNumber: 1202" hidden="1">
          <a:extLst>
            <a:ext uri="{FF2B5EF4-FFF2-40B4-BE49-F238E27FC236}">
              <a16:creationId xmlns:a16="http://schemas.microsoft.com/office/drawing/2014/main" id="{F8917527-EA8C-418F-87F3-A1DEA8E02841}"/>
            </a:ext>
          </a:extLst>
        </xdr:cNvPr>
        <xdr:cNvSpPr/>
      </xdr:nvSpPr>
      <xdr:spPr bwMode="auto">
        <a:xfrm>
          <a:off x="6467475" y="751954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349</xdr:row>
      <xdr:rowOff>119382</xdr:rowOff>
    </xdr:from>
    <xdr:to>
      <xdr:col>12</xdr:col>
      <xdr:colOff>63500</xdr:colOff>
      <xdr:row>350</xdr:row>
      <xdr:rowOff>2</xdr:rowOff>
    </xdr:to>
    <xdr:sp macro="" textlink="">
      <xdr:nvSpPr>
        <xdr:cNvPr id="1174" name="nuNumber: 1203" hidden="1">
          <a:extLst>
            <a:ext uri="{FF2B5EF4-FFF2-40B4-BE49-F238E27FC236}">
              <a16:creationId xmlns:a16="http://schemas.microsoft.com/office/drawing/2014/main" id="{096BDB15-EAE8-477D-B6C2-58D84CE718EC}"/>
            </a:ext>
          </a:extLst>
        </xdr:cNvPr>
        <xdr:cNvSpPr/>
      </xdr:nvSpPr>
      <xdr:spPr bwMode="auto">
        <a:xfrm>
          <a:off x="8972550" y="751954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349</xdr:row>
      <xdr:rowOff>119382</xdr:rowOff>
    </xdr:from>
    <xdr:to>
      <xdr:col>14</xdr:col>
      <xdr:colOff>63500</xdr:colOff>
      <xdr:row>350</xdr:row>
      <xdr:rowOff>2</xdr:rowOff>
    </xdr:to>
    <xdr:sp macro="" textlink="">
      <xdr:nvSpPr>
        <xdr:cNvPr id="1175" name="nuNumber: 1204" hidden="1">
          <a:extLst>
            <a:ext uri="{FF2B5EF4-FFF2-40B4-BE49-F238E27FC236}">
              <a16:creationId xmlns:a16="http://schemas.microsoft.com/office/drawing/2014/main" id="{EF99B6DF-A3FF-434D-ABC9-FF7BE03CE98C}"/>
            </a:ext>
          </a:extLst>
        </xdr:cNvPr>
        <xdr:cNvSpPr/>
      </xdr:nvSpPr>
      <xdr:spPr bwMode="auto">
        <a:xfrm>
          <a:off x="10515600" y="751954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349</xdr:row>
      <xdr:rowOff>119382</xdr:rowOff>
    </xdr:from>
    <xdr:to>
      <xdr:col>16</xdr:col>
      <xdr:colOff>63500</xdr:colOff>
      <xdr:row>350</xdr:row>
      <xdr:rowOff>2</xdr:rowOff>
    </xdr:to>
    <xdr:sp macro="" textlink="">
      <xdr:nvSpPr>
        <xdr:cNvPr id="1176" name="nuNumber: 1205" hidden="1">
          <a:extLst>
            <a:ext uri="{FF2B5EF4-FFF2-40B4-BE49-F238E27FC236}">
              <a16:creationId xmlns:a16="http://schemas.microsoft.com/office/drawing/2014/main" id="{CE6DEE25-2EEE-41B2-9EB6-4E5E38D8361B}"/>
            </a:ext>
          </a:extLst>
        </xdr:cNvPr>
        <xdr:cNvSpPr/>
      </xdr:nvSpPr>
      <xdr:spPr bwMode="auto">
        <a:xfrm>
          <a:off x="12106275" y="751954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349</xdr:row>
      <xdr:rowOff>119382</xdr:rowOff>
    </xdr:from>
    <xdr:to>
      <xdr:col>19</xdr:col>
      <xdr:colOff>63500</xdr:colOff>
      <xdr:row>350</xdr:row>
      <xdr:rowOff>2</xdr:rowOff>
    </xdr:to>
    <xdr:sp macro="" textlink="">
      <xdr:nvSpPr>
        <xdr:cNvPr id="1177" name="nuNumber: 1206" hidden="1">
          <a:extLst>
            <a:ext uri="{FF2B5EF4-FFF2-40B4-BE49-F238E27FC236}">
              <a16:creationId xmlns:a16="http://schemas.microsoft.com/office/drawing/2014/main" id="{8CF43573-EFB9-47AA-B908-7BFCCE35DCBD}"/>
            </a:ext>
          </a:extLst>
        </xdr:cNvPr>
        <xdr:cNvSpPr/>
      </xdr:nvSpPr>
      <xdr:spPr bwMode="auto">
        <a:xfrm>
          <a:off x="14382750" y="751954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349</xdr:row>
      <xdr:rowOff>119382</xdr:rowOff>
    </xdr:from>
    <xdr:to>
      <xdr:col>20</xdr:col>
      <xdr:colOff>63500</xdr:colOff>
      <xdr:row>350</xdr:row>
      <xdr:rowOff>2</xdr:rowOff>
    </xdr:to>
    <xdr:sp macro="" textlink="">
      <xdr:nvSpPr>
        <xdr:cNvPr id="1178" name="nuNumber: 1207" hidden="1">
          <a:extLst>
            <a:ext uri="{FF2B5EF4-FFF2-40B4-BE49-F238E27FC236}">
              <a16:creationId xmlns:a16="http://schemas.microsoft.com/office/drawing/2014/main" id="{34824978-3A11-4FEF-842A-22BEBD5F6FC8}"/>
            </a:ext>
          </a:extLst>
        </xdr:cNvPr>
        <xdr:cNvSpPr/>
      </xdr:nvSpPr>
      <xdr:spPr bwMode="auto">
        <a:xfrm>
          <a:off x="15135225" y="751954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349</xdr:row>
      <xdr:rowOff>119382</xdr:rowOff>
    </xdr:from>
    <xdr:to>
      <xdr:col>21</xdr:col>
      <xdr:colOff>63500</xdr:colOff>
      <xdr:row>350</xdr:row>
      <xdr:rowOff>2</xdr:rowOff>
    </xdr:to>
    <xdr:sp macro="" textlink="">
      <xdr:nvSpPr>
        <xdr:cNvPr id="1179" name="nuNumber: 1208" hidden="1">
          <a:extLst>
            <a:ext uri="{FF2B5EF4-FFF2-40B4-BE49-F238E27FC236}">
              <a16:creationId xmlns:a16="http://schemas.microsoft.com/office/drawing/2014/main" id="{84CDF54E-78CC-43D8-8F49-158588434508}"/>
            </a:ext>
          </a:extLst>
        </xdr:cNvPr>
        <xdr:cNvSpPr/>
      </xdr:nvSpPr>
      <xdr:spPr bwMode="auto">
        <a:xfrm>
          <a:off x="15849600" y="751954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350</xdr:row>
      <xdr:rowOff>119381</xdr:rowOff>
    </xdr:from>
    <xdr:to>
      <xdr:col>9</xdr:col>
      <xdr:colOff>63500</xdr:colOff>
      <xdr:row>351</xdr:row>
      <xdr:rowOff>1</xdr:rowOff>
    </xdr:to>
    <xdr:sp macro="" textlink="">
      <xdr:nvSpPr>
        <xdr:cNvPr id="1180" name="nuNumber: 1209" hidden="1">
          <a:extLst>
            <a:ext uri="{FF2B5EF4-FFF2-40B4-BE49-F238E27FC236}">
              <a16:creationId xmlns:a16="http://schemas.microsoft.com/office/drawing/2014/main" id="{5C6CD08E-55E7-4D92-AA2C-107489105B5F}"/>
            </a:ext>
          </a:extLst>
        </xdr:cNvPr>
        <xdr:cNvSpPr/>
      </xdr:nvSpPr>
      <xdr:spPr bwMode="auto">
        <a:xfrm>
          <a:off x="6467475" y="754049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350</xdr:row>
      <xdr:rowOff>119381</xdr:rowOff>
    </xdr:from>
    <xdr:to>
      <xdr:col>12</xdr:col>
      <xdr:colOff>63500</xdr:colOff>
      <xdr:row>351</xdr:row>
      <xdr:rowOff>1</xdr:rowOff>
    </xdr:to>
    <xdr:sp macro="" textlink="">
      <xdr:nvSpPr>
        <xdr:cNvPr id="1181" name="nuNumber: 1210" hidden="1">
          <a:extLst>
            <a:ext uri="{FF2B5EF4-FFF2-40B4-BE49-F238E27FC236}">
              <a16:creationId xmlns:a16="http://schemas.microsoft.com/office/drawing/2014/main" id="{2F87B438-FA87-41C0-A536-8053D25CC307}"/>
            </a:ext>
          </a:extLst>
        </xdr:cNvPr>
        <xdr:cNvSpPr/>
      </xdr:nvSpPr>
      <xdr:spPr bwMode="auto">
        <a:xfrm>
          <a:off x="8972550" y="754049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350</xdr:row>
      <xdr:rowOff>119381</xdr:rowOff>
    </xdr:from>
    <xdr:to>
      <xdr:col>14</xdr:col>
      <xdr:colOff>63500</xdr:colOff>
      <xdr:row>351</xdr:row>
      <xdr:rowOff>1</xdr:rowOff>
    </xdr:to>
    <xdr:sp macro="" textlink="">
      <xdr:nvSpPr>
        <xdr:cNvPr id="1182" name="nuNumber: 1211" hidden="1">
          <a:extLst>
            <a:ext uri="{FF2B5EF4-FFF2-40B4-BE49-F238E27FC236}">
              <a16:creationId xmlns:a16="http://schemas.microsoft.com/office/drawing/2014/main" id="{1962357B-C413-4EF9-983C-1766C3B31B08}"/>
            </a:ext>
          </a:extLst>
        </xdr:cNvPr>
        <xdr:cNvSpPr/>
      </xdr:nvSpPr>
      <xdr:spPr bwMode="auto">
        <a:xfrm>
          <a:off x="10515600" y="754049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350</xdr:row>
      <xdr:rowOff>119381</xdr:rowOff>
    </xdr:from>
    <xdr:to>
      <xdr:col>16</xdr:col>
      <xdr:colOff>63500</xdr:colOff>
      <xdr:row>351</xdr:row>
      <xdr:rowOff>1</xdr:rowOff>
    </xdr:to>
    <xdr:sp macro="" textlink="">
      <xdr:nvSpPr>
        <xdr:cNvPr id="1183" name="nuNumber: 1212" hidden="1">
          <a:extLst>
            <a:ext uri="{FF2B5EF4-FFF2-40B4-BE49-F238E27FC236}">
              <a16:creationId xmlns:a16="http://schemas.microsoft.com/office/drawing/2014/main" id="{05273938-5F3E-40A0-B1A6-3D7C46F33E5F}"/>
            </a:ext>
          </a:extLst>
        </xdr:cNvPr>
        <xdr:cNvSpPr/>
      </xdr:nvSpPr>
      <xdr:spPr bwMode="auto">
        <a:xfrm>
          <a:off x="12106275" y="754049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350</xdr:row>
      <xdr:rowOff>119381</xdr:rowOff>
    </xdr:from>
    <xdr:to>
      <xdr:col>19</xdr:col>
      <xdr:colOff>63500</xdr:colOff>
      <xdr:row>351</xdr:row>
      <xdr:rowOff>1</xdr:rowOff>
    </xdr:to>
    <xdr:sp macro="" textlink="">
      <xdr:nvSpPr>
        <xdr:cNvPr id="1184" name="nuNumber: 1213" hidden="1">
          <a:extLst>
            <a:ext uri="{FF2B5EF4-FFF2-40B4-BE49-F238E27FC236}">
              <a16:creationId xmlns:a16="http://schemas.microsoft.com/office/drawing/2014/main" id="{D5B86193-46AC-47BB-BF29-61C1AFF3E6AC}"/>
            </a:ext>
          </a:extLst>
        </xdr:cNvPr>
        <xdr:cNvSpPr/>
      </xdr:nvSpPr>
      <xdr:spPr bwMode="auto">
        <a:xfrm>
          <a:off x="14382750" y="754049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350</xdr:row>
      <xdr:rowOff>119381</xdr:rowOff>
    </xdr:from>
    <xdr:to>
      <xdr:col>20</xdr:col>
      <xdr:colOff>63500</xdr:colOff>
      <xdr:row>351</xdr:row>
      <xdr:rowOff>1</xdr:rowOff>
    </xdr:to>
    <xdr:sp macro="" textlink="">
      <xdr:nvSpPr>
        <xdr:cNvPr id="1185" name="nuNumber: 1214" hidden="1">
          <a:extLst>
            <a:ext uri="{FF2B5EF4-FFF2-40B4-BE49-F238E27FC236}">
              <a16:creationId xmlns:a16="http://schemas.microsoft.com/office/drawing/2014/main" id="{BF8DE10D-9AE2-4E8F-8574-7412E7F5770A}"/>
            </a:ext>
          </a:extLst>
        </xdr:cNvPr>
        <xdr:cNvSpPr/>
      </xdr:nvSpPr>
      <xdr:spPr bwMode="auto">
        <a:xfrm>
          <a:off x="15135225" y="754049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350</xdr:row>
      <xdr:rowOff>119381</xdr:rowOff>
    </xdr:from>
    <xdr:to>
      <xdr:col>21</xdr:col>
      <xdr:colOff>63500</xdr:colOff>
      <xdr:row>351</xdr:row>
      <xdr:rowOff>1</xdr:rowOff>
    </xdr:to>
    <xdr:sp macro="" textlink="">
      <xdr:nvSpPr>
        <xdr:cNvPr id="1186" name="nuNumber: 1215" hidden="1">
          <a:extLst>
            <a:ext uri="{FF2B5EF4-FFF2-40B4-BE49-F238E27FC236}">
              <a16:creationId xmlns:a16="http://schemas.microsoft.com/office/drawing/2014/main" id="{D2F690A2-2C8A-4BD0-97D2-5E4C2493C800}"/>
            </a:ext>
          </a:extLst>
        </xdr:cNvPr>
        <xdr:cNvSpPr/>
      </xdr:nvSpPr>
      <xdr:spPr bwMode="auto">
        <a:xfrm>
          <a:off x="15849600" y="754049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352</xdr:row>
      <xdr:rowOff>119379</xdr:rowOff>
    </xdr:from>
    <xdr:to>
      <xdr:col>19</xdr:col>
      <xdr:colOff>63500</xdr:colOff>
      <xdr:row>352</xdr:row>
      <xdr:rowOff>182879</xdr:rowOff>
    </xdr:to>
    <xdr:sp macro="" textlink="">
      <xdr:nvSpPr>
        <xdr:cNvPr id="1187" name="nuNumber: 1216" hidden="1">
          <a:extLst>
            <a:ext uri="{FF2B5EF4-FFF2-40B4-BE49-F238E27FC236}">
              <a16:creationId xmlns:a16="http://schemas.microsoft.com/office/drawing/2014/main" id="{8FA80C2E-E402-4768-8D31-919E3AF54AAF}"/>
            </a:ext>
          </a:extLst>
        </xdr:cNvPr>
        <xdr:cNvSpPr/>
      </xdr:nvSpPr>
      <xdr:spPr bwMode="auto">
        <a:xfrm>
          <a:off x="14382750" y="758240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352</xdr:row>
      <xdr:rowOff>119379</xdr:rowOff>
    </xdr:from>
    <xdr:to>
      <xdr:col>21</xdr:col>
      <xdr:colOff>63500</xdr:colOff>
      <xdr:row>352</xdr:row>
      <xdr:rowOff>182879</xdr:rowOff>
    </xdr:to>
    <xdr:sp macro="" textlink="">
      <xdr:nvSpPr>
        <xdr:cNvPr id="1188" name="nuNumber: 1217" hidden="1">
          <a:extLst>
            <a:ext uri="{FF2B5EF4-FFF2-40B4-BE49-F238E27FC236}">
              <a16:creationId xmlns:a16="http://schemas.microsoft.com/office/drawing/2014/main" id="{5BC604EF-3E47-4DAE-ABAF-C5FD6DD22803}"/>
            </a:ext>
          </a:extLst>
        </xdr:cNvPr>
        <xdr:cNvSpPr/>
      </xdr:nvSpPr>
      <xdr:spPr bwMode="auto">
        <a:xfrm>
          <a:off x="15849600" y="758240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353</xdr:row>
      <xdr:rowOff>119378</xdr:rowOff>
    </xdr:from>
    <xdr:to>
      <xdr:col>19</xdr:col>
      <xdr:colOff>63500</xdr:colOff>
      <xdr:row>353</xdr:row>
      <xdr:rowOff>182878</xdr:rowOff>
    </xdr:to>
    <xdr:sp macro="" textlink="">
      <xdr:nvSpPr>
        <xdr:cNvPr id="1189" name="nuNumber: 1218" hidden="1">
          <a:extLst>
            <a:ext uri="{FF2B5EF4-FFF2-40B4-BE49-F238E27FC236}">
              <a16:creationId xmlns:a16="http://schemas.microsoft.com/office/drawing/2014/main" id="{D8852C86-A61A-4FC0-96EC-AB7C77B2B060}"/>
            </a:ext>
          </a:extLst>
        </xdr:cNvPr>
        <xdr:cNvSpPr/>
      </xdr:nvSpPr>
      <xdr:spPr bwMode="auto">
        <a:xfrm>
          <a:off x="14382750" y="760336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353</xdr:row>
      <xdr:rowOff>119378</xdr:rowOff>
    </xdr:from>
    <xdr:to>
      <xdr:col>21</xdr:col>
      <xdr:colOff>63500</xdr:colOff>
      <xdr:row>353</xdr:row>
      <xdr:rowOff>182878</xdr:rowOff>
    </xdr:to>
    <xdr:sp macro="" textlink="">
      <xdr:nvSpPr>
        <xdr:cNvPr id="1190" name="nuNumber: 1219" hidden="1">
          <a:extLst>
            <a:ext uri="{FF2B5EF4-FFF2-40B4-BE49-F238E27FC236}">
              <a16:creationId xmlns:a16="http://schemas.microsoft.com/office/drawing/2014/main" id="{F223B1A8-ECD4-4947-96CB-21FB136FC9F8}"/>
            </a:ext>
          </a:extLst>
        </xdr:cNvPr>
        <xdr:cNvSpPr/>
      </xdr:nvSpPr>
      <xdr:spPr bwMode="auto">
        <a:xfrm>
          <a:off x="15849600" y="760336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354</xdr:row>
      <xdr:rowOff>119382</xdr:rowOff>
    </xdr:from>
    <xdr:to>
      <xdr:col>19</xdr:col>
      <xdr:colOff>63500</xdr:colOff>
      <xdr:row>355</xdr:row>
      <xdr:rowOff>2</xdr:rowOff>
    </xdr:to>
    <xdr:sp macro="" textlink="">
      <xdr:nvSpPr>
        <xdr:cNvPr id="1191" name="nuNumber: 1220" hidden="1">
          <a:extLst>
            <a:ext uri="{FF2B5EF4-FFF2-40B4-BE49-F238E27FC236}">
              <a16:creationId xmlns:a16="http://schemas.microsoft.com/office/drawing/2014/main" id="{E2ABD1B5-0BD6-4698-AEF6-97720F3F8CC6}"/>
            </a:ext>
          </a:extLst>
        </xdr:cNvPr>
        <xdr:cNvSpPr/>
      </xdr:nvSpPr>
      <xdr:spPr bwMode="auto">
        <a:xfrm>
          <a:off x="14382750" y="762431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354</xdr:row>
      <xdr:rowOff>119382</xdr:rowOff>
    </xdr:from>
    <xdr:to>
      <xdr:col>21</xdr:col>
      <xdr:colOff>63500</xdr:colOff>
      <xdr:row>355</xdr:row>
      <xdr:rowOff>2</xdr:rowOff>
    </xdr:to>
    <xdr:sp macro="" textlink="">
      <xdr:nvSpPr>
        <xdr:cNvPr id="1192" name="nuNumber: 1221" hidden="1">
          <a:extLst>
            <a:ext uri="{FF2B5EF4-FFF2-40B4-BE49-F238E27FC236}">
              <a16:creationId xmlns:a16="http://schemas.microsoft.com/office/drawing/2014/main" id="{6AB56F8B-1276-4D76-A910-1FA0CB8F0EEB}"/>
            </a:ext>
          </a:extLst>
        </xdr:cNvPr>
        <xdr:cNvSpPr/>
      </xdr:nvSpPr>
      <xdr:spPr bwMode="auto">
        <a:xfrm>
          <a:off x="15849600" y="762431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355</xdr:row>
      <xdr:rowOff>119381</xdr:rowOff>
    </xdr:from>
    <xdr:to>
      <xdr:col>19</xdr:col>
      <xdr:colOff>63500</xdr:colOff>
      <xdr:row>356</xdr:row>
      <xdr:rowOff>1</xdr:rowOff>
    </xdr:to>
    <xdr:sp macro="" textlink="">
      <xdr:nvSpPr>
        <xdr:cNvPr id="1193" name="nuNumber: 1222" hidden="1">
          <a:extLst>
            <a:ext uri="{FF2B5EF4-FFF2-40B4-BE49-F238E27FC236}">
              <a16:creationId xmlns:a16="http://schemas.microsoft.com/office/drawing/2014/main" id="{B09E2336-4DDF-4F00-8C2C-02E350CD7A2F}"/>
            </a:ext>
          </a:extLst>
        </xdr:cNvPr>
        <xdr:cNvSpPr/>
      </xdr:nvSpPr>
      <xdr:spPr bwMode="auto">
        <a:xfrm>
          <a:off x="14382750" y="7645273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355</xdr:row>
      <xdr:rowOff>119381</xdr:rowOff>
    </xdr:from>
    <xdr:to>
      <xdr:col>21</xdr:col>
      <xdr:colOff>63500</xdr:colOff>
      <xdr:row>356</xdr:row>
      <xdr:rowOff>1</xdr:rowOff>
    </xdr:to>
    <xdr:sp macro="" textlink="">
      <xdr:nvSpPr>
        <xdr:cNvPr id="1194" name="nuNumber: 1223" hidden="1">
          <a:extLst>
            <a:ext uri="{FF2B5EF4-FFF2-40B4-BE49-F238E27FC236}">
              <a16:creationId xmlns:a16="http://schemas.microsoft.com/office/drawing/2014/main" id="{CE3A13A5-6457-4135-BCEE-C3BDC0165854}"/>
            </a:ext>
          </a:extLst>
        </xdr:cNvPr>
        <xdr:cNvSpPr/>
      </xdr:nvSpPr>
      <xdr:spPr bwMode="auto">
        <a:xfrm>
          <a:off x="15849600" y="7645273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356</xdr:row>
      <xdr:rowOff>119380</xdr:rowOff>
    </xdr:from>
    <xdr:to>
      <xdr:col>19</xdr:col>
      <xdr:colOff>63500</xdr:colOff>
      <xdr:row>357</xdr:row>
      <xdr:rowOff>0</xdr:rowOff>
    </xdr:to>
    <xdr:sp macro="" textlink="">
      <xdr:nvSpPr>
        <xdr:cNvPr id="1195" name="nuNumber: 1224" hidden="1">
          <a:extLst>
            <a:ext uri="{FF2B5EF4-FFF2-40B4-BE49-F238E27FC236}">
              <a16:creationId xmlns:a16="http://schemas.microsoft.com/office/drawing/2014/main" id="{B49FD723-1318-4221-9643-0A7CE9A6CB14}"/>
            </a:ext>
          </a:extLst>
        </xdr:cNvPr>
        <xdr:cNvSpPr/>
      </xdr:nvSpPr>
      <xdr:spPr bwMode="auto">
        <a:xfrm>
          <a:off x="14382750" y="766622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356</xdr:row>
      <xdr:rowOff>119380</xdr:rowOff>
    </xdr:from>
    <xdr:to>
      <xdr:col>21</xdr:col>
      <xdr:colOff>63500</xdr:colOff>
      <xdr:row>357</xdr:row>
      <xdr:rowOff>0</xdr:rowOff>
    </xdr:to>
    <xdr:sp macro="" textlink="">
      <xdr:nvSpPr>
        <xdr:cNvPr id="1196" name="nuNumber: 1225" hidden="1">
          <a:extLst>
            <a:ext uri="{FF2B5EF4-FFF2-40B4-BE49-F238E27FC236}">
              <a16:creationId xmlns:a16="http://schemas.microsoft.com/office/drawing/2014/main" id="{E76D1986-65CC-42E4-9EF4-7248DA5C3153}"/>
            </a:ext>
          </a:extLst>
        </xdr:cNvPr>
        <xdr:cNvSpPr/>
      </xdr:nvSpPr>
      <xdr:spPr bwMode="auto">
        <a:xfrm>
          <a:off x="15849600" y="766622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357</xdr:row>
      <xdr:rowOff>119379</xdr:rowOff>
    </xdr:from>
    <xdr:to>
      <xdr:col>19</xdr:col>
      <xdr:colOff>63500</xdr:colOff>
      <xdr:row>357</xdr:row>
      <xdr:rowOff>182879</xdr:rowOff>
    </xdr:to>
    <xdr:sp macro="" textlink="">
      <xdr:nvSpPr>
        <xdr:cNvPr id="1197" name="nuNumber: 1226" hidden="1">
          <a:extLst>
            <a:ext uri="{FF2B5EF4-FFF2-40B4-BE49-F238E27FC236}">
              <a16:creationId xmlns:a16="http://schemas.microsoft.com/office/drawing/2014/main" id="{00562D72-1E20-4BFC-8DEA-F2FED10A8276}"/>
            </a:ext>
          </a:extLst>
        </xdr:cNvPr>
        <xdr:cNvSpPr/>
      </xdr:nvSpPr>
      <xdr:spPr bwMode="auto">
        <a:xfrm>
          <a:off x="14382750" y="7687182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357</xdr:row>
      <xdr:rowOff>119379</xdr:rowOff>
    </xdr:from>
    <xdr:to>
      <xdr:col>21</xdr:col>
      <xdr:colOff>63500</xdr:colOff>
      <xdr:row>357</xdr:row>
      <xdr:rowOff>182879</xdr:rowOff>
    </xdr:to>
    <xdr:sp macro="" textlink="">
      <xdr:nvSpPr>
        <xdr:cNvPr id="1198" name="nuNumber: 1227" hidden="1">
          <a:extLst>
            <a:ext uri="{FF2B5EF4-FFF2-40B4-BE49-F238E27FC236}">
              <a16:creationId xmlns:a16="http://schemas.microsoft.com/office/drawing/2014/main" id="{92FC9207-FD7B-4EEA-8551-E5398153D190}"/>
            </a:ext>
          </a:extLst>
        </xdr:cNvPr>
        <xdr:cNvSpPr/>
      </xdr:nvSpPr>
      <xdr:spPr bwMode="auto">
        <a:xfrm>
          <a:off x="15849600" y="7687182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358</xdr:row>
      <xdr:rowOff>119378</xdr:rowOff>
    </xdr:from>
    <xdr:to>
      <xdr:col>19</xdr:col>
      <xdr:colOff>63500</xdr:colOff>
      <xdr:row>358</xdr:row>
      <xdr:rowOff>182878</xdr:rowOff>
    </xdr:to>
    <xdr:sp macro="" textlink="">
      <xdr:nvSpPr>
        <xdr:cNvPr id="1199" name="nuNumber: 1228" hidden="1">
          <a:extLst>
            <a:ext uri="{FF2B5EF4-FFF2-40B4-BE49-F238E27FC236}">
              <a16:creationId xmlns:a16="http://schemas.microsoft.com/office/drawing/2014/main" id="{2BAAB586-046D-4FC8-87AB-2F5F143F7764}"/>
            </a:ext>
          </a:extLst>
        </xdr:cNvPr>
        <xdr:cNvSpPr/>
      </xdr:nvSpPr>
      <xdr:spPr bwMode="auto">
        <a:xfrm>
          <a:off x="14382750" y="7708137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358</xdr:row>
      <xdr:rowOff>119378</xdr:rowOff>
    </xdr:from>
    <xdr:to>
      <xdr:col>21</xdr:col>
      <xdr:colOff>63500</xdr:colOff>
      <xdr:row>358</xdr:row>
      <xdr:rowOff>182878</xdr:rowOff>
    </xdr:to>
    <xdr:sp macro="" textlink="">
      <xdr:nvSpPr>
        <xdr:cNvPr id="1200" name="nuNumber: 1229" hidden="1">
          <a:extLst>
            <a:ext uri="{FF2B5EF4-FFF2-40B4-BE49-F238E27FC236}">
              <a16:creationId xmlns:a16="http://schemas.microsoft.com/office/drawing/2014/main" id="{CD50D31A-1BF0-4EC6-85C9-67CA96B046C8}"/>
            </a:ext>
          </a:extLst>
        </xdr:cNvPr>
        <xdr:cNvSpPr/>
      </xdr:nvSpPr>
      <xdr:spPr bwMode="auto">
        <a:xfrm>
          <a:off x="15849600" y="7708137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359</xdr:row>
      <xdr:rowOff>119382</xdr:rowOff>
    </xdr:from>
    <xdr:to>
      <xdr:col>19</xdr:col>
      <xdr:colOff>63500</xdr:colOff>
      <xdr:row>360</xdr:row>
      <xdr:rowOff>2</xdr:rowOff>
    </xdr:to>
    <xdr:sp macro="" textlink="">
      <xdr:nvSpPr>
        <xdr:cNvPr id="1201" name="nuNumber: 1230" hidden="1">
          <a:extLst>
            <a:ext uri="{FF2B5EF4-FFF2-40B4-BE49-F238E27FC236}">
              <a16:creationId xmlns:a16="http://schemas.microsoft.com/office/drawing/2014/main" id="{493C947C-0853-42CA-BE10-36A6B4842046}"/>
            </a:ext>
          </a:extLst>
        </xdr:cNvPr>
        <xdr:cNvSpPr/>
      </xdr:nvSpPr>
      <xdr:spPr bwMode="auto">
        <a:xfrm>
          <a:off x="14382750" y="772909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359</xdr:row>
      <xdr:rowOff>119382</xdr:rowOff>
    </xdr:from>
    <xdr:to>
      <xdr:col>21</xdr:col>
      <xdr:colOff>63500</xdr:colOff>
      <xdr:row>360</xdr:row>
      <xdr:rowOff>2</xdr:rowOff>
    </xdr:to>
    <xdr:sp macro="" textlink="">
      <xdr:nvSpPr>
        <xdr:cNvPr id="1202" name="nuNumber: 1231" hidden="1">
          <a:extLst>
            <a:ext uri="{FF2B5EF4-FFF2-40B4-BE49-F238E27FC236}">
              <a16:creationId xmlns:a16="http://schemas.microsoft.com/office/drawing/2014/main" id="{CA1D44EC-C68D-44F3-9CBC-EB0F237D7C1F}"/>
            </a:ext>
          </a:extLst>
        </xdr:cNvPr>
        <xdr:cNvSpPr/>
      </xdr:nvSpPr>
      <xdr:spPr bwMode="auto">
        <a:xfrm>
          <a:off x="15849600" y="772909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521</xdr:row>
      <xdr:rowOff>119378</xdr:rowOff>
    </xdr:from>
    <xdr:to>
      <xdr:col>10</xdr:col>
      <xdr:colOff>63500</xdr:colOff>
      <xdr:row>521</xdr:row>
      <xdr:rowOff>182878</xdr:rowOff>
    </xdr:to>
    <xdr:sp macro="" textlink="">
      <xdr:nvSpPr>
        <xdr:cNvPr id="1203" name="nuNumber: 1232" hidden="1">
          <a:extLst>
            <a:ext uri="{FF2B5EF4-FFF2-40B4-BE49-F238E27FC236}">
              <a16:creationId xmlns:a16="http://schemas.microsoft.com/office/drawing/2014/main" id="{0C1B655C-B036-4F3F-8822-36243EE29336}"/>
            </a:ext>
          </a:extLst>
        </xdr:cNvPr>
        <xdr:cNvSpPr/>
      </xdr:nvSpPr>
      <xdr:spPr bwMode="auto">
        <a:xfrm>
          <a:off x="7315200" y="11137137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521</xdr:row>
      <xdr:rowOff>119378</xdr:rowOff>
    </xdr:from>
    <xdr:to>
      <xdr:col>11</xdr:col>
      <xdr:colOff>63500</xdr:colOff>
      <xdr:row>521</xdr:row>
      <xdr:rowOff>182878</xdr:rowOff>
    </xdr:to>
    <xdr:sp macro="" textlink="">
      <xdr:nvSpPr>
        <xdr:cNvPr id="1204" name="nuNumber: 1233" hidden="1">
          <a:extLst>
            <a:ext uri="{FF2B5EF4-FFF2-40B4-BE49-F238E27FC236}">
              <a16:creationId xmlns:a16="http://schemas.microsoft.com/office/drawing/2014/main" id="{5FF40514-168C-4AB7-AC30-82E3F8F091AC}"/>
            </a:ext>
          </a:extLst>
        </xdr:cNvPr>
        <xdr:cNvSpPr/>
      </xdr:nvSpPr>
      <xdr:spPr bwMode="auto">
        <a:xfrm>
          <a:off x="8105775" y="11137137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521</xdr:row>
      <xdr:rowOff>119378</xdr:rowOff>
    </xdr:from>
    <xdr:to>
      <xdr:col>12</xdr:col>
      <xdr:colOff>63500</xdr:colOff>
      <xdr:row>521</xdr:row>
      <xdr:rowOff>182878</xdr:rowOff>
    </xdr:to>
    <xdr:sp macro="" textlink="">
      <xdr:nvSpPr>
        <xdr:cNvPr id="1205" name="nuNumber: 1234" hidden="1">
          <a:extLst>
            <a:ext uri="{FF2B5EF4-FFF2-40B4-BE49-F238E27FC236}">
              <a16:creationId xmlns:a16="http://schemas.microsoft.com/office/drawing/2014/main" id="{0934E82F-4C4D-48D3-A242-6512B2051C44}"/>
            </a:ext>
          </a:extLst>
        </xdr:cNvPr>
        <xdr:cNvSpPr/>
      </xdr:nvSpPr>
      <xdr:spPr bwMode="auto">
        <a:xfrm>
          <a:off x="8972550" y="11137137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521</xdr:row>
      <xdr:rowOff>119378</xdr:rowOff>
    </xdr:from>
    <xdr:to>
      <xdr:col>17</xdr:col>
      <xdr:colOff>63500</xdr:colOff>
      <xdr:row>521</xdr:row>
      <xdr:rowOff>182878</xdr:rowOff>
    </xdr:to>
    <xdr:sp macro="" textlink="">
      <xdr:nvSpPr>
        <xdr:cNvPr id="1206" name="nuNumber: 1235" hidden="1">
          <a:extLst>
            <a:ext uri="{FF2B5EF4-FFF2-40B4-BE49-F238E27FC236}">
              <a16:creationId xmlns:a16="http://schemas.microsoft.com/office/drawing/2014/main" id="{274E4FD6-04BB-40D3-B0A1-7FD8CF337C84}"/>
            </a:ext>
          </a:extLst>
        </xdr:cNvPr>
        <xdr:cNvSpPr/>
      </xdr:nvSpPr>
      <xdr:spPr bwMode="auto">
        <a:xfrm>
          <a:off x="12887325" y="11137137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521</xdr:row>
      <xdr:rowOff>119378</xdr:rowOff>
    </xdr:from>
    <xdr:to>
      <xdr:col>20</xdr:col>
      <xdr:colOff>63500</xdr:colOff>
      <xdr:row>521</xdr:row>
      <xdr:rowOff>182878</xdr:rowOff>
    </xdr:to>
    <xdr:sp macro="" textlink="">
      <xdr:nvSpPr>
        <xdr:cNvPr id="1207" name="nuNumber: 1236" hidden="1">
          <a:extLst>
            <a:ext uri="{FF2B5EF4-FFF2-40B4-BE49-F238E27FC236}">
              <a16:creationId xmlns:a16="http://schemas.microsoft.com/office/drawing/2014/main" id="{357AE92F-B5E3-466B-8B1C-132F743068F1}"/>
            </a:ext>
          </a:extLst>
        </xdr:cNvPr>
        <xdr:cNvSpPr/>
      </xdr:nvSpPr>
      <xdr:spPr bwMode="auto">
        <a:xfrm>
          <a:off x="15135225" y="11137137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521</xdr:row>
      <xdr:rowOff>119378</xdr:rowOff>
    </xdr:from>
    <xdr:to>
      <xdr:col>21</xdr:col>
      <xdr:colOff>63500</xdr:colOff>
      <xdr:row>521</xdr:row>
      <xdr:rowOff>182878</xdr:rowOff>
    </xdr:to>
    <xdr:sp macro="" textlink="">
      <xdr:nvSpPr>
        <xdr:cNvPr id="1208" name="nuNumber: 1237" hidden="1">
          <a:extLst>
            <a:ext uri="{FF2B5EF4-FFF2-40B4-BE49-F238E27FC236}">
              <a16:creationId xmlns:a16="http://schemas.microsoft.com/office/drawing/2014/main" id="{74DA52E3-5875-4B3F-888F-D2CF63799A78}"/>
            </a:ext>
          </a:extLst>
        </xdr:cNvPr>
        <xdr:cNvSpPr/>
      </xdr:nvSpPr>
      <xdr:spPr bwMode="auto">
        <a:xfrm>
          <a:off x="15849600" y="11137137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523</xdr:row>
      <xdr:rowOff>119381</xdr:rowOff>
    </xdr:from>
    <xdr:to>
      <xdr:col>10</xdr:col>
      <xdr:colOff>63500</xdr:colOff>
      <xdr:row>524</xdr:row>
      <xdr:rowOff>1</xdr:rowOff>
    </xdr:to>
    <xdr:sp macro="" textlink="">
      <xdr:nvSpPr>
        <xdr:cNvPr id="1209" name="nuNumber: 1238" hidden="1">
          <a:extLst>
            <a:ext uri="{FF2B5EF4-FFF2-40B4-BE49-F238E27FC236}">
              <a16:creationId xmlns:a16="http://schemas.microsoft.com/office/drawing/2014/main" id="{92B543DC-AD85-40CC-9065-5207CBD8428A}"/>
            </a:ext>
          </a:extLst>
        </xdr:cNvPr>
        <xdr:cNvSpPr/>
      </xdr:nvSpPr>
      <xdr:spPr bwMode="auto">
        <a:xfrm>
          <a:off x="7315200" y="1117904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523</xdr:row>
      <xdr:rowOff>119381</xdr:rowOff>
    </xdr:from>
    <xdr:to>
      <xdr:col>11</xdr:col>
      <xdr:colOff>63500</xdr:colOff>
      <xdr:row>524</xdr:row>
      <xdr:rowOff>1</xdr:rowOff>
    </xdr:to>
    <xdr:sp macro="" textlink="">
      <xdr:nvSpPr>
        <xdr:cNvPr id="1210" name="nuNumber: 1239" hidden="1">
          <a:extLst>
            <a:ext uri="{FF2B5EF4-FFF2-40B4-BE49-F238E27FC236}">
              <a16:creationId xmlns:a16="http://schemas.microsoft.com/office/drawing/2014/main" id="{A405BB6A-F7A8-4A7C-9A92-1EBA8448ABCE}"/>
            </a:ext>
          </a:extLst>
        </xdr:cNvPr>
        <xdr:cNvSpPr/>
      </xdr:nvSpPr>
      <xdr:spPr bwMode="auto">
        <a:xfrm>
          <a:off x="8105775" y="1117904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523</xdr:row>
      <xdr:rowOff>119381</xdr:rowOff>
    </xdr:from>
    <xdr:to>
      <xdr:col>12</xdr:col>
      <xdr:colOff>63500</xdr:colOff>
      <xdr:row>524</xdr:row>
      <xdr:rowOff>1</xdr:rowOff>
    </xdr:to>
    <xdr:sp macro="" textlink="">
      <xdr:nvSpPr>
        <xdr:cNvPr id="1211" name="nuNumber: 1240" hidden="1">
          <a:extLst>
            <a:ext uri="{FF2B5EF4-FFF2-40B4-BE49-F238E27FC236}">
              <a16:creationId xmlns:a16="http://schemas.microsoft.com/office/drawing/2014/main" id="{9255D1BF-92E7-467D-954E-EC1C91954B40}"/>
            </a:ext>
          </a:extLst>
        </xdr:cNvPr>
        <xdr:cNvSpPr/>
      </xdr:nvSpPr>
      <xdr:spPr bwMode="auto">
        <a:xfrm>
          <a:off x="8972550" y="1117904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523</xdr:row>
      <xdr:rowOff>119381</xdr:rowOff>
    </xdr:from>
    <xdr:to>
      <xdr:col>17</xdr:col>
      <xdr:colOff>63500</xdr:colOff>
      <xdr:row>524</xdr:row>
      <xdr:rowOff>1</xdr:rowOff>
    </xdr:to>
    <xdr:sp macro="" textlink="">
      <xdr:nvSpPr>
        <xdr:cNvPr id="1212" name="nuNumber: 1241" hidden="1">
          <a:extLst>
            <a:ext uri="{FF2B5EF4-FFF2-40B4-BE49-F238E27FC236}">
              <a16:creationId xmlns:a16="http://schemas.microsoft.com/office/drawing/2014/main" id="{EF41B43F-F975-4B2C-BDED-9BF97D88C14A}"/>
            </a:ext>
          </a:extLst>
        </xdr:cNvPr>
        <xdr:cNvSpPr/>
      </xdr:nvSpPr>
      <xdr:spPr bwMode="auto">
        <a:xfrm>
          <a:off x="12887325" y="1117904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523</xdr:row>
      <xdr:rowOff>119381</xdr:rowOff>
    </xdr:from>
    <xdr:to>
      <xdr:col>20</xdr:col>
      <xdr:colOff>63500</xdr:colOff>
      <xdr:row>524</xdr:row>
      <xdr:rowOff>1</xdr:rowOff>
    </xdr:to>
    <xdr:sp macro="" textlink="">
      <xdr:nvSpPr>
        <xdr:cNvPr id="1213" name="nuNumber: 1242" hidden="1">
          <a:extLst>
            <a:ext uri="{FF2B5EF4-FFF2-40B4-BE49-F238E27FC236}">
              <a16:creationId xmlns:a16="http://schemas.microsoft.com/office/drawing/2014/main" id="{5AA86929-EC01-4E56-BE16-2BE24DEB8540}"/>
            </a:ext>
          </a:extLst>
        </xdr:cNvPr>
        <xdr:cNvSpPr/>
      </xdr:nvSpPr>
      <xdr:spPr bwMode="auto">
        <a:xfrm>
          <a:off x="15135225" y="1117904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523</xdr:row>
      <xdr:rowOff>119381</xdr:rowOff>
    </xdr:from>
    <xdr:to>
      <xdr:col>21</xdr:col>
      <xdr:colOff>63500</xdr:colOff>
      <xdr:row>524</xdr:row>
      <xdr:rowOff>1</xdr:rowOff>
    </xdr:to>
    <xdr:sp macro="" textlink="">
      <xdr:nvSpPr>
        <xdr:cNvPr id="1214" name="nuNumber: 1243" hidden="1">
          <a:extLst>
            <a:ext uri="{FF2B5EF4-FFF2-40B4-BE49-F238E27FC236}">
              <a16:creationId xmlns:a16="http://schemas.microsoft.com/office/drawing/2014/main" id="{2EFA28C8-59A4-4F11-A4B1-91C49D9A49E5}"/>
            </a:ext>
          </a:extLst>
        </xdr:cNvPr>
        <xdr:cNvSpPr/>
      </xdr:nvSpPr>
      <xdr:spPr bwMode="auto">
        <a:xfrm>
          <a:off x="15849600" y="1117904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524</xdr:row>
      <xdr:rowOff>119380</xdr:rowOff>
    </xdr:from>
    <xdr:to>
      <xdr:col>6</xdr:col>
      <xdr:colOff>63500</xdr:colOff>
      <xdr:row>525</xdr:row>
      <xdr:rowOff>0</xdr:rowOff>
    </xdr:to>
    <xdr:sp macro="" textlink="">
      <xdr:nvSpPr>
        <xdr:cNvPr id="1215" name="nuNumber: 1244" hidden="1">
          <a:extLst>
            <a:ext uri="{FF2B5EF4-FFF2-40B4-BE49-F238E27FC236}">
              <a16:creationId xmlns:a16="http://schemas.microsoft.com/office/drawing/2014/main" id="{E50AB204-C583-4B19-87AF-8A3264B9F73C}"/>
            </a:ext>
          </a:extLst>
        </xdr:cNvPr>
        <xdr:cNvSpPr/>
      </xdr:nvSpPr>
      <xdr:spPr bwMode="auto">
        <a:xfrm>
          <a:off x="3800475" y="1120000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524</xdr:row>
      <xdr:rowOff>119380</xdr:rowOff>
    </xdr:from>
    <xdr:to>
      <xdr:col>10</xdr:col>
      <xdr:colOff>63500</xdr:colOff>
      <xdr:row>525</xdr:row>
      <xdr:rowOff>0</xdr:rowOff>
    </xdr:to>
    <xdr:sp macro="" textlink="">
      <xdr:nvSpPr>
        <xdr:cNvPr id="1216" name="nuNumber: 1245" hidden="1">
          <a:extLst>
            <a:ext uri="{FF2B5EF4-FFF2-40B4-BE49-F238E27FC236}">
              <a16:creationId xmlns:a16="http://schemas.microsoft.com/office/drawing/2014/main" id="{FE80EF94-53D2-42C7-A957-F7C9FCBB46C7}"/>
            </a:ext>
          </a:extLst>
        </xdr:cNvPr>
        <xdr:cNvSpPr/>
      </xdr:nvSpPr>
      <xdr:spPr bwMode="auto">
        <a:xfrm>
          <a:off x="7315200" y="1120000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524</xdr:row>
      <xdr:rowOff>119380</xdr:rowOff>
    </xdr:from>
    <xdr:to>
      <xdr:col>11</xdr:col>
      <xdr:colOff>63500</xdr:colOff>
      <xdr:row>525</xdr:row>
      <xdr:rowOff>0</xdr:rowOff>
    </xdr:to>
    <xdr:sp macro="" textlink="">
      <xdr:nvSpPr>
        <xdr:cNvPr id="1217" name="nuNumber: 1246" hidden="1">
          <a:extLst>
            <a:ext uri="{FF2B5EF4-FFF2-40B4-BE49-F238E27FC236}">
              <a16:creationId xmlns:a16="http://schemas.microsoft.com/office/drawing/2014/main" id="{6033658A-C9EE-440D-8C82-6889536B3CF2}"/>
            </a:ext>
          </a:extLst>
        </xdr:cNvPr>
        <xdr:cNvSpPr/>
      </xdr:nvSpPr>
      <xdr:spPr bwMode="auto">
        <a:xfrm>
          <a:off x="8105775" y="1120000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524</xdr:row>
      <xdr:rowOff>119380</xdr:rowOff>
    </xdr:from>
    <xdr:to>
      <xdr:col>12</xdr:col>
      <xdr:colOff>63500</xdr:colOff>
      <xdr:row>525</xdr:row>
      <xdr:rowOff>0</xdr:rowOff>
    </xdr:to>
    <xdr:sp macro="" textlink="">
      <xdr:nvSpPr>
        <xdr:cNvPr id="1218" name="nuNumber: 1247" hidden="1">
          <a:extLst>
            <a:ext uri="{FF2B5EF4-FFF2-40B4-BE49-F238E27FC236}">
              <a16:creationId xmlns:a16="http://schemas.microsoft.com/office/drawing/2014/main" id="{665CFA0C-2F7F-49B4-8263-F5549588BD73}"/>
            </a:ext>
          </a:extLst>
        </xdr:cNvPr>
        <xdr:cNvSpPr/>
      </xdr:nvSpPr>
      <xdr:spPr bwMode="auto">
        <a:xfrm>
          <a:off x="8972550" y="1120000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524</xdr:row>
      <xdr:rowOff>119380</xdr:rowOff>
    </xdr:from>
    <xdr:to>
      <xdr:col>17</xdr:col>
      <xdr:colOff>63500</xdr:colOff>
      <xdr:row>525</xdr:row>
      <xdr:rowOff>0</xdr:rowOff>
    </xdr:to>
    <xdr:sp macro="" textlink="">
      <xdr:nvSpPr>
        <xdr:cNvPr id="1219" name="nuNumber: 1248" hidden="1">
          <a:extLst>
            <a:ext uri="{FF2B5EF4-FFF2-40B4-BE49-F238E27FC236}">
              <a16:creationId xmlns:a16="http://schemas.microsoft.com/office/drawing/2014/main" id="{28F4CF36-3DBA-4180-B6A3-7ADF2E140A11}"/>
            </a:ext>
          </a:extLst>
        </xdr:cNvPr>
        <xdr:cNvSpPr/>
      </xdr:nvSpPr>
      <xdr:spPr bwMode="auto">
        <a:xfrm>
          <a:off x="12887325" y="1120000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524</xdr:row>
      <xdr:rowOff>119380</xdr:rowOff>
    </xdr:from>
    <xdr:to>
      <xdr:col>20</xdr:col>
      <xdr:colOff>63500</xdr:colOff>
      <xdr:row>525</xdr:row>
      <xdr:rowOff>0</xdr:rowOff>
    </xdr:to>
    <xdr:sp macro="" textlink="">
      <xdr:nvSpPr>
        <xdr:cNvPr id="1220" name="nuNumber: 1249" hidden="1">
          <a:extLst>
            <a:ext uri="{FF2B5EF4-FFF2-40B4-BE49-F238E27FC236}">
              <a16:creationId xmlns:a16="http://schemas.microsoft.com/office/drawing/2014/main" id="{CB32D6A6-B858-4C4B-A7FB-28E97553A8D3}"/>
            </a:ext>
          </a:extLst>
        </xdr:cNvPr>
        <xdr:cNvSpPr/>
      </xdr:nvSpPr>
      <xdr:spPr bwMode="auto">
        <a:xfrm>
          <a:off x="15135225" y="1120000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524</xdr:row>
      <xdr:rowOff>119380</xdr:rowOff>
    </xdr:from>
    <xdr:to>
      <xdr:col>21</xdr:col>
      <xdr:colOff>63500</xdr:colOff>
      <xdr:row>525</xdr:row>
      <xdr:rowOff>0</xdr:rowOff>
    </xdr:to>
    <xdr:sp macro="" textlink="">
      <xdr:nvSpPr>
        <xdr:cNvPr id="1221" name="nuNumber: 1250" hidden="1">
          <a:extLst>
            <a:ext uri="{FF2B5EF4-FFF2-40B4-BE49-F238E27FC236}">
              <a16:creationId xmlns:a16="http://schemas.microsoft.com/office/drawing/2014/main" id="{9AB0134F-ACD7-4C45-9F19-2A4421161CB7}"/>
            </a:ext>
          </a:extLst>
        </xdr:cNvPr>
        <xdr:cNvSpPr/>
      </xdr:nvSpPr>
      <xdr:spPr bwMode="auto">
        <a:xfrm>
          <a:off x="15849600" y="1120000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525</xdr:row>
      <xdr:rowOff>119379</xdr:rowOff>
    </xdr:from>
    <xdr:to>
      <xdr:col>6</xdr:col>
      <xdr:colOff>63500</xdr:colOff>
      <xdr:row>525</xdr:row>
      <xdr:rowOff>182879</xdr:rowOff>
    </xdr:to>
    <xdr:sp macro="" textlink="">
      <xdr:nvSpPr>
        <xdr:cNvPr id="1222" name="nuNumber: 1251" hidden="1">
          <a:extLst>
            <a:ext uri="{FF2B5EF4-FFF2-40B4-BE49-F238E27FC236}">
              <a16:creationId xmlns:a16="http://schemas.microsoft.com/office/drawing/2014/main" id="{A320D13D-F7B4-4D5F-A3C0-920A53407266}"/>
            </a:ext>
          </a:extLst>
        </xdr:cNvPr>
        <xdr:cNvSpPr/>
      </xdr:nvSpPr>
      <xdr:spPr bwMode="auto">
        <a:xfrm>
          <a:off x="3800475" y="1122095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525</xdr:row>
      <xdr:rowOff>119379</xdr:rowOff>
    </xdr:from>
    <xdr:to>
      <xdr:col>10</xdr:col>
      <xdr:colOff>63500</xdr:colOff>
      <xdr:row>525</xdr:row>
      <xdr:rowOff>182879</xdr:rowOff>
    </xdr:to>
    <xdr:sp macro="" textlink="">
      <xdr:nvSpPr>
        <xdr:cNvPr id="1223" name="nuNumber: 1252" hidden="1">
          <a:extLst>
            <a:ext uri="{FF2B5EF4-FFF2-40B4-BE49-F238E27FC236}">
              <a16:creationId xmlns:a16="http://schemas.microsoft.com/office/drawing/2014/main" id="{49D4E926-091B-4665-B214-9CC0C37B6011}"/>
            </a:ext>
          </a:extLst>
        </xdr:cNvPr>
        <xdr:cNvSpPr/>
      </xdr:nvSpPr>
      <xdr:spPr bwMode="auto">
        <a:xfrm>
          <a:off x="7315200" y="1122095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525</xdr:row>
      <xdr:rowOff>119379</xdr:rowOff>
    </xdr:from>
    <xdr:to>
      <xdr:col>11</xdr:col>
      <xdr:colOff>63500</xdr:colOff>
      <xdr:row>525</xdr:row>
      <xdr:rowOff>182879</xdr:rowOff>
    </xdr:to>
    <xdr:sp macro="" textlink="">
      <xdr:nvSpPr>
        <xdr:cNvPr id="1224" name="nuNumber: 1253" hidden="1">
          <a:extLst>
            <a:ext uri="{FF2B5EF4-FFF2-40B4-BE49-F238E27FC236}">
              <a16:creationId xmlns:a16="http://schemas.microsoft.com/office/drawing/2014/main" id="{096F3AD1-A2AB-4643-ACFC-5CE7F6CE489C}"/>
            </a:ext>
          </a:extLst>
        </xdr:cNvPr>
        <xdr:cNvSpPr/>
      </xdr:nvSpPr>
      <xdr:spPr bwMode="auto">
        <a:xfrm>
          <a:off x="8105775" y="1122095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525</xdr:row>
      <xdr:rowOff>119379</xdr:rowOff>
    </xdr:from>
    <xdr:to>
      <xdr:col>12</xdr:col>
      <xdr:colOff>63500</xdr:colOff>
      <xdr:row>525</xdr:row>
      <xdr:rowOff>182879</xdr:rowOff>
    </xdr:to>
    <xdr:sp macro="" textlink="">
      <xdr:nvSpPr>
        <xdr:cNvPr id="1225" name="nuNumber: 1254" hidden="1">
          <a:extLst>
            <a:ext uri="{FF2B5EF4-FFF2-40B4-BE49-F238E27FC236}">
              <a16:creationId xmlns:a16="http://schemas.microsoft.com/office/drawing/2014/main" id="{5733EF8E-4D50-483C-A82D-5F39D285AE6E}"/>
            </a:ext>
          </a:extLst>
        </xdr:cNvPr>
        <xdr:cNvSpPr/>
      </xdr:nvSpPr>
      <xdr:spPr bwMode="auto">
        <a:xfrm>
          <a:off x="8972550" y="1122095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525</xdr:row>
      <xdr:rowOff>119379</xdr:rowOff>
    </xdr:from>
    <xdr:to>
      <xdr:col>17</xdr:col>
      <xdr:colOff>63500</xdr:colOff>
      <xdr:row>525</xdr:row>
      <xdr:rowOff>182879</xdr:rowOff>
    </xdr:to>
    <xdr:sp macro="" textlink="">
      <xdr:nvSpPr>
        <xdr:cNvPr id="1226" name="nuNumber: 1255" hidden="1">
          <a:extLst>
            <a:ext uri="{FF2B5EF4-FFF2-40B4-BE49-F238E27FC236}">
              <a16:creationId xmlns:a16="http://schemas.microsoft.com/office/drawing/2014/main" id="{B5DD6121-796D-4CB4-A024-38875860FD6D}"/>
            </a:ext>
          </a:extLst>
        </xdr:cNvPr>
        <xdr:cNvSpPr/>
      </xdr:nvSpPr>
      <xdr:spPr bwMode="auto">
        <a:xfrm>
          <a:off x="12887325" y="1122095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525</xdr:row>
      <xdr:rowOff>119379</xdr:rowOff>
    </xdr:from>
    <xdr:to>
      <xdr:col>20</xdr:col>
      <xdr:colOff>63500</xdr:colOff>
      <xdr:row>525</xdr:row>
      <xdr:rowOff>182879</xdr:rowOff>
    </xdr:to>
    <xdr:sp macro="" textlink="">
      <xdr:nvSpPr>
        <xdr:cNvPr id="1227" name="nuNumber: 1256" hidden="1">
          <a:extLst>
            <a:ext uri="{FF2B5EF4-FFF2-40B4-BE49-F238E27FC236}">
              <a16:creationId xmlns:a16="http://schemas.microsoft.com/office/drawing/2014/main" id="{1C7E2000-CACD-487E-9712-EFCE829AF875}"/>
            </a:ext>
          </a:extLst>
        </xdr:cNvPr>
        <xdr:cNvSpPr/>
      </xdr:nvSpPr>
      <xdr:spPr bwMode="auto">
        <a:xfrm>
          <a:off x="15135225" y="1122095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525</xdr:row>
      <xdr:rowOff>119379</xdr:rowOff>
    </xdr:from>
    <xdr:to>
      <xdr:col>21</xdr:col>
      <xdr:colOff>63500</xdr:colOff>
      <xdr:row>525</xdr:row>
      <xdr:rowOff>182879</xdr:rowOff>
    </xdr:to>
    <xdr:sp macro="" textlink="">
      <xdr:nvSpPr>
        <xdr:cNvPr id="1228" name="nuNumber: 1257" hidden="1">
          <a:extLst>
            <a:ext uri="{FF2B5EF4-FFF2-40B4-BE49-F238E27FC236}">
              <a16:creationId xmlns:a16="http://schemas.microsoft.com/office/drawing/2014/main" id="{918CD7B3-76B8-4F48-A1E9-3153FFA49CB6}"/>
            </a:ext>
          </a:extLst>
        </xdr:cNvPr>
        <xdr:cNvSpPr/>
      </xdr:nvSpPr>
      <xdr:spPr bwMode="auto">
        <a:xfrm>
          <a:off x="15849600" y="1122095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526</xdr:row>
      <xdr:rowOff>119378</xdr:rowOff>
    </xdr:from>
    <xdr:to>
      <xdr:col>10</xdr:col>
      <xdr:colOff>63500</xdr:colOff>
      <xdr:row>526</xdr:row>
      <xdr:rowOff>182878</xdr:rowOff>
    </xdr:to>
    <xdr:sp macro="" textlink="">
      <xdr:nvSpPr>
        <xdr:cNvPr id="1229" name="nuNumber: 1258" hidden="1">
          <a:extLst>
            <a:ext uri="{FF2B5EF4-FFF2-40B4-BE49-F238E27FC236}">
              <a16:creationId xmlns:a16="http://schemas.microsoft.com/office/drawing/2014/main" id="{895A84B9-439A-4485-B7AA-879D30A2EA95}"/>
            </a:ext>
          </a:extLst>
        </xdr:cNvPr>
        <xdr:cNvSpPr/>
      </xdr:nvSpPr>
      <xdr:spPr bwMode="auto">
        <a:xfrm>
          <a:off x="7315200" y="1124191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526</xdr:row>
      <xdr:rowOff>119378</xdr:rowOff>
    </xdr:from>
    <xdr:to>
      <xdr:col>11</xdr:col>
      <xdr:colOff>63500</xdr:colOff>
      <xdr:row>526</xdr:row>
      <xdr:rowOff>182878</xdr:rowOff>
    </xdr:to>
    <xdr:sp macro="" textlink="">
      <xdr:nvSpPr>
        <xdr:cNvPr id="1230" name="nuNumber: 1259" hidden="1">
          <a:extLst>
            <a:ext uri="{FF2B5EF4-FFF2-40B4-BE49-F238E27FC236}">
              <a16:creationId xmlns:a16="http://schemas.microsoft.com/office/drawing/2014/main" id="{C07F442B-6FA7-4B67-86CD-A19407C8B88C}"/>
            </a:ext>
          </a:extLst>
        </xdr:cNvPr>
        <xdr:cNvSpPr/>
      </xdr:nvSpPr>
      <xdr:spPr bwMode="auto">
        <a:xfrm>
          <a:off x="8105775" y="1124191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526</xdr:row>
      <xdr:rowOff>119378</xdr:rowOff>
    </xdr:from>
    <xdr:to>
      <xdr:col>12</xdr:col>
      <xdr:colOff>63500</xdr:colOff>
      <xdr:row>526</xdr:row>
      <xdr:rowOff>182878</xdr:rowOff>
    </xdr:to>
    <xdr:sp macro="" textlink="">
      <xdr:nvSpPr>
        <xdr:cNvPr id="1231" name="nuNumber: 1260" hidden="1">
          <a:extLst>
            <a:ext uri="{FF2B5EF4-FFF2-40B4-BE49-F238E27FC236}">
              <a16:creationId xmlns:a16="http://schemas.microsoft.com/office/drawing/2014/main" id="{F22B67B0-308D-4AD7-A5DF-E72CDA145D84}"/>
            </a:ext>
          </a:extLst>
        </xdr:cNvPr>
        <xdr:cNvSpPr/>
      </xdr:nvSpPr>
      <xdr:spPr bwMode="auto">
        <a:xfrm>
          <a:off x="8972550" y="1124191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526</xdr:row>
      <xdr:rowOff>119378</xdr:rowOff>
    </xdr:from>
    <xdr:to>
      <xdr:col>17</xdr:col>
      <xdr:colOff>63500</xdr:colOff>
      <xdr:row>526</xdr:row>
      <xdr:rowOff>182878</xdr:rowOff>
    </xdr:to>
    <xdr:sp macro="" textlink="">
      <xdr:nvSpPr>
        <xdr:cNvPr id="1232" name="nuNumber: 1261" hidden="1">
          <a:extLst>
            <a:ext uri="{FF2B5EF4-FFF2-40B4-BE49-F238E27FC236}">
              <a16:creationId xmlns:a16="http://schemas.microsoft.com/office/drawing/2014/main" id="{73717A78-9D0A-42BF-B33C-30B05B89991F}"/>
            </a:ext>
          </a:extLst>
        </xdr:cNvPr>
        <xdr:cNvSpPr/>
      </xdr:nvSpPr>
      <xdr:spPr bwMode="auto">
        <a:xfrm>
          <a:off x="12887325" y="1124191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526</xdr:row>
      <xdr:rowOff>119378</xdr:rowOff>
    </xdr:from>
    <xdr:to>
      <xdr:col>20</xdr:col>
      <xdr:colOff>63500</xdr:colOff>
      <xdr:row>526</xdr:row>
      <xdr:rowOff>182878</xdr:rowOff>
    </xdr:to>
    <xdr:sp macro="" textlink="">
      <xdr:nvSpPr>
        <xdr:cNvPr id="1233" name="nuNumber: 1262" hidden="1">
          <a:extLst>
            <a:ext uri="{FF2B5EF4-FFF2-40B4-BE49-F238E27FC236}">
              <a16:creationId xmlns:a16="http://schemas.microsoft.com/office/drawing/2014/main" id="{434D9E84-203A-4B13-927C-30EE7056F166}"/>
            </a:ext>
          </a:extLst>
        </xdr:cNvPr>
        <xdr:cNvSpPr/>
      </xdr:nvSpPr>
      <xdr:spPr bwMode="auto">
        <a:xfrm>
          <a:off x="15135225" y="1124191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526</xdr:row>
      <xdr:rowOff>119378</xdr:rowOff>
    </xdr:from>
    <xdr:to>
      <xdr:col>21</xdr:col>
      <xdr:colOff>63500</xdr:colOff>
      <xdr:row>526</xdr:row>
      <xdr:rowOff>182878</xdr:rowOff>
    </xdr:to>
    <xdr:sp macro="" textlink="">
      <xdr:nvSpPr>
        <xdr:cNvPr id="1234" name="nuNumber: 1263" hidden="1">
          <a:extLst>
            <a:ext uri="{FF2B5EF4-FFF2-40B4-BE49-F238E27FC236}">
              <a16:creationId xmlns:a16="http://schemas.microsoft.com/office/drawing/2014/main" id="{A7FACCB0-8B8A-4009-8AF0-57E9CF122D98}"/>
            </a:ext>
          </a:extLst>
        </xdr:cNvPr>
        <xdr:cNvSpPr/>
      </xdr:nvSpPr>
      <xdr:spPr bwMode="auto">
        <a:xfrm>
          <a:off x="15849600" y="1124191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527</xdr:row>
      <xdr:rowOff>119382</xdr:rowOff>
    </xdr:from>
    <xdr:to>
      <xdr:col>10</xdr:col>
      <xdr:colOff>63500</xdr:colOff>
      <xdr:row>528</xdr:row>
      <xdr:rowOff>2</xdr:rowOff>
    </xdr:to>
    <xdr:sp macro="" textlink="">
      <xdr:nvSpPr>
        <xdr:cNvPr id="1235" name="nuNumber: 1264" hidden="1">
          <a:extLst>
            <a:ext uri="{FF2B5EF4-FFF2-40B4-BE49-F238E27FC236}">
              <a16:creationId xmlns:a16="http://schemas.microsoft.com/office/drawing/2014/main" id="{AF90122E-96E3-4DAE-A0DE-64D7E5B68C9D}"/>
            </a:ext>
          </a:extLst>
        </xdr:cNvPr>
        <xdr:cNvSpPr/>
      </xdr:nvSpPr>
      <xdr:spPr bwMode="auto">
        <a:xfrm>
          <a:off x="7315200" y="1126286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527</xdr:row>
      <xdr:rowOff>119382</xdr:rowOff>
    </xdr:from>
    <xdr:to>
      <xdr:col>11</xdr:col>
      <xdr:colOff>63500</xdr:colOff>
      <xdr:row>528</xdr:row>
      <xdr:rowOff>2</xdr:rowOff>
    </xdr:to>
    <xdr:sp macro="" textlink="">
      <xdr:nvSpPr>
        <xdr:cNvPr id="1236" name="nuNumber: 1265" hidden="1">
          <a:extLst>
            <a:ext uri="{FF2B5EF4-FFF2-40B4-BE49-F238E27FC236}">
              <a16:creationId xmlns:a16="http://schemas.microsoft.com/office/drawing/2014/main" id="{2CFEF107-0E11-4466-9FFF-E3B8BF82B8C6}"/>
            </a:ext>
          </a:extLst>
        </xdr:cNvPr>
        <xdr:cNvSpPr/>
      </xdr:nvSpPr>
      <xdr:spPr bwMode="auto">
        <a:xfrm>
          <a:off x="8105775" y="1126286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527</xdr:row>
      <xdr:rowOff>119382</xdr:rowOff>
    </xdr:from>
    <xdr:to>
      <xdr:col>12</xdr:col>
      <xdr:colOff>63500</xdr:colOff>
      <xdr:row>528</xdr:row>
      <xdr:rowOff>2</xdr:rowOff>
    </xdr:to>
    <xdr:sp macro="" textlink="">
      <xdr:nvSpPr>
        <xdr:cNvPr id="1237" name="nuNumber: 1266" hidden="1">
          <a:extLst>
            <a:ext uri="{FF2B5EF4-FFF2-40B4-BE49-F238E27FC236}">
              <a16:creationId xmlns:a16="http://schemas.microsoft.com/office/drawing/2014/main" id="{C71AA438-BCA5-4FF5-BEEA-FE2A7A401A7B}"/>
            </a:ext>
          </a:extLst>
        </xdr:cNvPr>
        <xdr:cNvSpPr/>
      </xdr:nvSpPr>
      <xdr:spPr bwMode="auto">
        <a:xfrm>
          <a:off x="8972550" y="1126286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527</xdr:row>
      <xdr:rowOff>119382</xdr:rowOff>
    </xdr:from>
    <xdr:to>
      <xdr:col>17</xdr:col>
      <xdr:colOff>63500</xdr:colOff>
      <xdr:row>528</xdr:row>
      <xdr:rowOff>2</xdr:rowOff>
    </xdr:to>
    <xdr:sp macro="" textlink="">
      <xdr:nvSpPr>
        <xdr:cNvPr id="1238" name="nuNumber: 1267" hidden="1">
          <a:extLst>
            <a:ext uri="{FF2B5EF4-FFF2-40B4-BE49-F238E27FC236}">
              <a16:creationId xmlns:a16="http://schemas.microsoft.com/office/drawing/2014/main" id="{F3666BC3-ACE8-4030-A79C-C4547CBF9B92}"/>
            </a:ext>
          </a:extLst>
        </xdr:cNvPr>
        <xdr:cNvSpPr/>
      </xdr:nvSpPr>
      <xdr:spPr bwMode="auto">
        <a:xfrm>
          <a:off x="12887325" y="1126286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527</xdr:row>
      <xdr:rowOff>119382</xdr:rowOff>
    </xdr:from>
    <xdr:to>
      <xdr:col>20</xdr:col>
      <xdr:colOff>63500</xdr:colOff>
      <xdr:row>528</xdr:row>
      <xdr:rowOff>2</xdr:rowOff>
    </xdr:to>
    <xdr:sp macro="" textlink="">
      <xdr:nvSpPr>
        <xdr:cNvPr id="1239" name="nuNumber: 1268" hidden="1">
          <a:extLst>
            <a:ext uri="{FF2B5EF4-FFF2-40B4-BE49-F238E27FC236}">
              <a16:creationId xmlns:a16="http://schemas.microsoft.com/office/drawing/2014/main" id="{8C753AFA-E3C0-4A3D-83E8-FDF681A4869B}"/>
            </a:ext>
          </a:extLst>
        </xdr:cNvPr>
        <xdr:cNvSpPr/>
      </xdr:nvSpPr>
      <xdr:spPr bwMode="auto">
        <a:xfrm>
          <a:off x="15135225" y="1126286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527</xdr:row>
      <xdr:rowOff>119382</xdr:rowOff>
    </xdr:from>
    <xdr:to>
      <xdr:col>21</xdr:col>
      <xdr:colOff>63500</xdr:colOff>
      <xdr:row>528</xdr:row>
      <xdr:rowOff>2</xdr:rowOff>
    </xdr:to>
    <xdr:sp macro="" textlink="">
      <xdr:nvSpPr>
        <xdr:cNvPr id="1240" name="nuNumber: 1269" hidden="1">
          <a:extLst>
            <a:ext uri="{FF2B5EF4-FFF2-40B4-BE49-F238E27FC236}">
              <a16:creationId xmlns:a16="http://schemas.microsoft.com/office/drawing/2014/main" id="{A92089C6-68F4-4B41-8CA4-E210CA16DA20}"/>
            </a:ext>
          </a:extLst>
        </xdr:cNvPr>
        <xdr:cNvSpPr/>
      </xdr:nvSpPr>
      <xdr:spPr bwMode="auto">
        <a:xfrm>
          <a:off x="15849600" y="11262868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544</xdr:row>
      <xdr:rowOff>119379</xdr:rowOff>
    </xdr:from>
    <xdr:to>
      <xdr:col>12</xdr:col>
      <xdr:colOff>63500</xdr:colOff>
      <xdr:row>544</xdr:row>
      <xdr:rowOff>182879</xdr:rowOff>
    </xdr:to>
    <xdr:sp macro="" textlink="">
      <xdr:nvSpPr>
        <xdr:cNvPr id="1241" name="nuNumber: 1270" hidden="1">
          <a:extLst>
            <a:ext uri="{FF2B5EF4-FFF2-40B4-BE49-F238E27FC236}">
              <a16:creationId xmlns:a16="http://schemas.microsoft.com/office/drawing/2014/main" id="{B6986A90-3951-4C6E-8C25-B003C99C6732}"/>
            </a:ext>
          </a:extLst>
        </xdr:cNvPr>
        <xdr:cNvSpPr/>
      </xdr:nvSpPr>
      <xdr:spPr bwMode="auto">
        <a:xfrm>
          <a:off x="8972550" y="11622912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547</xdr:row>
      <xdr:rowOff>119381</xdr:rowOff>
    </xdr:from>
    <xdr:to>
      <xdr:col>10</xdr:col>
      <xdr:colOff>63500</xdr:colOff>
      <xdr:row>548</xdr:row>
      <xdr:rowOff>1</xdr:rowOff>
    </xdr:to>
    <xdr:sp macro="" textlink="">
      <xdr:nvSpPr>
        <xdr:cNvPr id="1242" name="nuNumber: 1271" hidden="1">
          <a:extLst>
            <a:ext uri="{FF2B5EF4-FFF2-40B4-BE49-F238E27FC236}">
              <a16:creationId xmlns:a16="http://schemas.microsoft.com/office/drawing/2014/main" id="{BA5456D5-BC17-44F3-9BAF-1FE9C8B5112B}"/>
            </a:ext>
          </a:extLst>
        </xdr:cNvPr>
        <xdr:cNvSpPr/>
      </xdr:nvSpPr>
      <xdr:spPr bwMode="auto">
        <a:xfrm>
          <a:off x="7315200" y="1168577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547</xdr:row>
      <xdr:rowOff>119381</xdr:rowOff>
    </xdr:from>
    <xdr:to>
      <xdr:col>12</xdr:col>
      <xdr:colOff>63500</xdr:colOff>
      <xdr:row>548</xdr:row>
      <xdr:rowOff>1</xdr:rowOff>
    </xdr:to>
    <xdr:sp macro="" textlink="">
      <xdr:nvSpPr>
        <xdr:cNvPr id="1243" name="nuNumber: 1272" hidden="1">
          <a:extLst>
            <a:ext uri="{FF2B5EF4-FFF2-40B4-BE49-F238E27FC236}">
              <a16:creationId xmlns:a16="http://schemas.microsoft.com/office/drawing/2014/main" id="{2890D949-9B2D-4EFF-9465-7D85C0972514}"/>
            </a:ext>
          </a:extLst>
        </xdr:cNvPr>
        <xdr:cNvSpPr/>
      </xdr:nvSpPr>
      <xdr:spPr bwMode="auto">
        <a:xfrm>
          <a:off x="8972550" y="116857781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548</xdr:row>
      <xdr:rowOff>119380</xdr:rowOff>
    </xdr:from>
    <xdr:to>
      <xdr:col>10</xdr:col>
      <xdr:colOff>63500</xdr:colOff>
      <xdr:row>549</xdr:row>
      <xdr:rowOff>0</xdr:rowOff>
    </xdr:to>
    <xdr:sp macro="" textlink="">
      <xdr:nvSpPr>
        <xdr:cNvPr id="1244" name="nuNumber: 1273" hidden="1">
          <a:extLst>
            <a:ext uri="{FF2B5EF4-FFF2-40B4-BE49-F238E27FC236}">
              <a16:creationId xmlns:a16="http://schemas.microsoft.com/office/drawing/2014/main" id="{8781AC1C-CCBB-40D5-8FC8-575AB7ABD149}"/>
            </a:ext>
          </a:extLst>
        </xdr:cNvPr>
        <xdr:cNvSpPr/>
      </xdr:nvSpPr>
      <xdr:spPr bwMode="auto">
        <a:xfrm>
          <a:off x="7315200" y="117067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548</xdr:row>
      <xdr:rowOff>119380</xdr:rowOff>
    </xdr:from>
    <xdr:to>
      <xdr:col>12</xdr:col>
      <xdr:colOff>63500</xdr:colOff>
      <xdr:row>549</xdr:row>
      <xdr:rowOff>0</xdr:rowOff>
    </xdr:to>
    <xdr:sp macro="" textlink="">
      <xdr:nvSpPr>
        <xdr:cNvPr id="1245" name="nuNumber: 1274" hidden="1">
          <a:extLst>
            <a:ext uri="{FF2B5EF4-FFF2-40B4-BE49-F238E27FC236}">
              <a16:creationId xmlns:a16="http://schemas.microsoft.com/office/drawing/2014/main" id="{CD88838B-7BC2-4773-B316-7CE26969D6B0}"/>
            </a:ext>
          </a:extLst>
        </xdr:cNvPr>
        <xdr:cNvSpPr/>
      </xdr:nvSpPr>
      <xdr:spPr bwMode="auto">
        <a:xfrm>
          <a:off x="8972550" y="1170673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549</xdr:row>
      <xdr:rowOff>119379</xdr:rowOff>
    </xdr:from>
    <xdr:to>
      <xdr:col>12</xdr:col>
      <xdr:colOff>63500</xdr:colOff>
      <xdr:row>549</xdr:row>
      <xdr:rowOff>182879</xdr:rowOff>
    </xdr:to>
    <xdr:sp macro="" textlink="">
      <xdr:nvSpPr>
        <xdr:cNvPr id="1246" name="nuNumber: 1275" hidden="1">
          <a:extLst>
            <a:ext uri="{FF2B5EF4-FFF2-40B4-BE49-F238E27FC236}">
              <a16:creationId xmlns:a16="http://schemas.microsoft.com/office/drawing/2014/main" id="{85D0767D-B90D-4EEA-BFEF-A76A47C037F8}"/>
            </a:ext>
          </a:extLst>
        </xdr:cNvPr>
        <xdr:cNvSpPr/>
      </xdr:nvSpPr>
      <xdr:spPr bwMode="auto">
        <a:xfrm>
          <a:off x="8972550" y="1172768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550</xdr:row>
      <xdr:rowOff>119378</xdr:rowOff>
    </xdr:from>
    <xdr:to>
      <xdr:col>12</xdr:col>
      <xdr:colOff>63500</xdr:colOff>
      <xdr:row>550</xdr:row>
      <xdr:rowOff>182878</xdr:rowOff>
    </xdr:to>
    <xdr:sp macro="" textlink="">
      <xdr:nvSpPr>
        <xdr:cNvPr id="1247" name="nuNumber: 1276" hidden="1">
          <a:extLst>
            <a:ext uri="{FF2B5EF4-FFF2-40B4-BE49-F238E27FC236}">
              <a16:creationId xmlns:a16="http://schemas.microsoft.com/office/drawing/2014/main" id="{DDB404BE-1A3C-46FF-9FB1-89755D6D1433}"/>
            </a:ext>
          </a:extLst>
        </xdr:cNvPr>
        <xdr:cNvSpPr/>
      </xdr:nvSpPr>
      <xdr:spPr bwMode="auto">
        <a:xfrm>
          <a:off x="8972550" y="117486428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78</xdr:row>
      <xdr:rowOff>119380</xdr:rowOff>
    </xdr:from>
    <xdr:to>
      <xdr:col>8</xdr:col>
      <xdr:colOff>63500</xdr:colOff>
      <xdr:row>79</xdr:row>
      <xdr:rowOff>0</xdr:rowOff>
    </xdr:to>
    <xdr:sp macro="" textlink="">
      <xdr:nvSpPr>
        <xdr:cNvPr id="1248" name="nuNumber: 384" hidden="1">
          <a:extLst>
            <a:ext uri="{FF2B5EF4-FFF2-40B4-BE49-F238E27FC236}">
              <a16:creationId xmlns:a16="http://schemas.microsoft.com/office/drawing/2014/main" id="{D9F2DC6D-C496-4EF4-A89C-40068FF8A66E}"/>
            </a:ext>
          </a:extLst>
        </xdr:cNvPr>
        <xdr:cNvSpPr/>
      </xdr:nvSpPr>
      <xdr:spPr bwMode="auto">
        <a:xfrm>
          <a:off x="5562600" y="166166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78</xdr:row>
      <xdr:rowOff>119380</xdr:rowOff>
    </xdr:from>
    <xdr:to>
      <xdr:col>9</xdr:col>
      <xdr:colOff>63500</xdr:colOff>
      <xdr:row>79</xdr:row>
      <xdr:rowOff>0</xdr:rowOff>
    </xdr:to>
    <xdr:sp macro="" textlink="">
      <xdr:nvSpPr>
        <xdr:cNvPr id="1249" name="nuNumber: 385" hidden="1">
          <a:extLst>
            <a:ext uri="{FF2B5EF4-FFF2-40B4-BE49-F238E27FC236}">
              <a16:creationId xmlns:a16="http://schemas.microsoft.com/office/drawing/2014/main" id="{27EFF9A7-784D-4826-98EC-B4499DF731AD}"/>
            </a:ext>
          </a:extLst>
        </xdr:cNvPr>
        <xdr:cNvSpPr/>
      </xdr:nvSpPr>
      <xdr:spPr bwMode="auto">
        <a:xfrm>
          <a:off x="6467475" y="166166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78</xdr:row>
      <xdr:rowOff>119380</xdr:rowOff>
    </xdr:from>
    <xdr:to>
      <xdr:col>9</xdr:col>
      <xdr:colOff>63500</xdr:colOff>
      <xdr:row>79</xdr:row>
      <xdr:rowOff>0</xdr:rowOff>
    </xdr:to>
    <xdr:sp macro="" textlink="">
      <xdr:nvSpPr>
        <xdr:cNvPr id="1250" name="nuNumber: 386" hidden="1">
          <a:extLst>
            <a:ext uri="{FF2B5EF4-FFF2-40B4-BE49-F238E27FC236}">
              <a16:creationId xmlns:a16="http://schemas.microsoft.com/office/drawing/2014/main" id="{556388C5-B3F8-4B7C-BCEC-EFE3DAE8CCF1}"/>
            </a:ext>
          </a:extLst>
        </xdr:cNvPr>
        <xdr:cNvSpPr/>
      </xdr:nvSpPr>
      <xdr:spPr bwMode="auto">
        <a:xfrm>
          <a:off x="6467475" y="166166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78</xdr:row>
      <xdr:rowOff>119380</xdr:rowOff>
    </xdr:from>
    <xdr:to>
      <xdr:col>10</xdr:col>
      <xdr:colOff>63500</xdr:colOff>
      <xdr:row>79</xdr:row>
      <xdr:rowOff>0</xdr:rowOff>
    </xdr:to>
    <xdr:sp macro="" textlink="">
      <xdr:nvSpPr>
        <xdr:cNvPr id="1251" name="nuNumber: 387" hidden="1">
          <a:extLst>
            <a:ext uri="{FF2B5EF4-FFF2-40B4-BE49-F238E27FC236}">
              <a16:creationId xmlns:a16="http://schemas.microsoft.com/office/drawing/2014/main" id="{29991E86-27E1-42AC-9C06-5C9DC887ED84}"/>
            </a:ext>
          </a:extLst>
        </xdr:cNvPr>
        <xdr:cNvSpPr/>
      </xdr:nvSpPr>
      <xdr:spPr bwMode="auto">
        <a:xfrm>
          <a:off x="7315200" y="166166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78</xdr:row>
      <xdr:rowOff>119380</xdr:rowOff>
    </xdr:from>
    <xdr:to>
      <xdr:col>11</xdr:col>
      <xdr:colOff>63500</xdr:colOff>
      <xdr:row>79</xdr:row>
      <xdr:rowOff>0</xdr:rowOff>
    </xdr:to>
    <xdr:sp macro="" textlink="">
      <xdr:nvSpPr>
        <xdr:cNvPr id="1252" name="nuNumber: 388" hidden="1">
          <a:extLst>
            <a:ext uri="{FF2B5EF4-FFF2-40B4-BE49-F238E27FC236}">
              <a16:creationId xmlns:a16="http://schemas.microsoft.com/office/drawing/2014/main" id="{4A2B9577-B74F-4053-8BA7-63B0E5E9C204}"/>
            </a:ext>
          </a:extLst>
        </xdr:cNvPr>
        <xdr:cNvSpPr/>
      </xdr:nvSpPr>
      <xdr:spPr bwMode="auto">
        <a:xfrm>
          <a:off x="8105775" y="166166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78</xdr:row>
      <xdr:rowOff>119380</xdr:rowOff>
    </xdr:from>
    <xdr:to>
      <xdr:col>12</xdr:col>
      <xdr:colOff>63500</xdr:colOff>
      <xdr:row>79</xdr:row>
      <xdr:rowOff>0</xdr:rowOff>
    </xdr:to>
    <xdr:sp macro="" textlink="">
      <xdr:nvSpPr>
        <xdr:cNvPr id="1253" name="nuNumber: 389" hidden="1">
          <a:extLst>
            <a:ext uri="{FF2B5EF4-FFF2-40B4-BE49-F238E27FC236}">
              <a16:creationId xmlns:a16="http://schemas.microsoft.com/office/drawing/2014/main" id="{C30FA6AA-0C49-4CCB-94ED-46DE0CBA697E}"/>
            </a:ext>
          </a:extLst>
        </xdr:cNvPr>
        <xdr:cNvSpPr/>
      </xdr:nvSpPr>
      <xdr:spPr bwMode="auto">
        <a:xfrm>
          <a:off x="8972550" y="166166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78</xdr:row>
      <xdr:rowOff>119380</xdr:rowOff>
    </xdr:from>
    <xdr:to>
      <xdr:col>13</xdr:col>
      <xdr:colOff>63500</xdr:colOff>
      <xdr:row>79</xdr:row>
      <xdr:rowOff>0</xdr:rowOff>
    </xdr:to>
    <xdr:sp macro="" textlink="">
      <xdr:nvSpPr>
        <xdr:cNvPr id="1254" name="nuNumber: 390" hidden="1">
          <a:extLst>
            <a:ext uri="{FF2B5EF4-FFF2-40B4-BE49-F238E27FC236}">
              <a16:creationId xmlns:a16="http://schemas.microsoft.com/office/drawing/2014/main" id="{B5EEC2D7-1CDF-4146-B643-001BD22AC085}"/>
            </a:ext>
          </a:extLst>
        </xdr:cNvPr>
        <xdr:cNvSpPr/>
      </xdr:nvSpPr>
      <xdr:spPr bwMode="auto">
        <a:xfrm>
          <a:off x="9753600" y="166166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78</xdr:row>
      <xdr:rowOff>119380</xdr:rowOff>
    </xdr:from>
    <xdr:to>
      <xdr:col>14</xdr:col>
      <xdr:colOff>63500</xdr:colOff>
      <xdr:row>79</xdr:row>
      <xdr:rowOff>0</xdr:rowOff>
    </xdr:to>
    <xdr:sp macro="" textlink="">
      <xdr:nvSpPr>
        <xdr:cNvPr id="1255" name="nuNumber: 391" hidden="1">
          <a:extLst>
            <a:ext uri="{FF2B5EF4-FFF2-40B4-BE49-F238E27FC236}">
              <a16:creationId xmlns:a16="http://schemas.microsoft.com/office/drawing/2014/main" id="{A72F5366-30FE-4FD4-8BDE-0598DB0A4D47}"/>
            </a:ext>
          </a:extLst>
        </xdr:cNvPr>
        <xdr:cNvSpPr/>
      </xdr:nvSpPr>
      <xdr:spPr bwMode="auto">
        <a:xfrm>
          <a:off x="10515600" y="166166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78</xdr:row>
      <xdr:rowOff>119380</xdr:rowOff>
    </xdr:from>
    <xdr:to>
      <xdr:col>15</xdr:col>
      <xdr:colOff>63500</xdr:colOff>
      <xdr:row>79</xdr:row>
      <xdr:rowOff>0</xdr:rowOff>
    </xdr:to>
    <xdr:sp macro="" textlink="">
      <xdr:nvSpPr>
        <xdr:cNvPr id="1256" name="nuNumber: 392" hidden="1">
          <a:extLst>
            <a:ext uri="{FF2B5EF4-FFF2-40B4-BE49-F238E27FC236}">
              <a16:creationId xmlns:a16="http://schemas.microsoft.com/office/drawing/2014/main" id="{2EDC9BB4-2DBC-4050-B81E-45E9ED16C4A0}"/>
            </a:ext>
          </a:extLst>
        </xdr:cNvPr>
        <xdr:cNvSpPr/>
      </xdr:nvSpPr>
      <xdr:spPr bwMode="auto">
        <a:xfrm>
          <a:off x="11325225" y="166166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78</xdr:row>
      <xdr:rowOff>119380</xdr:rowOff>
    </xdr:from>
    <xdr:to>
      <xdr:col>16</xdr:col>
      <xdr:colOff>63500</xdr:colOff>
      <xdr:row>79</xdr:row>
      <xdr:rowOff>0</xdr:rowOff>
    </xdr:to>
    <xdr:sp macro="" textlink="">
      <xdr:nvSpPr>
        <xdr:cNvPr id="1257" name="nuNumber: 393" hidden="1">
          <a:extLst>
            <a:ext uri="{FF2B5EF4-FFF2-40B4-BE49-F238E27FC236}">
              <a16:creationId xmlns:a16="http://schemas.microsoft.com/office/drawing/2014/main" id="{B539F4A5-11E2-4472-9761-944B222281F1}"/>
            </a:ext>
          </a:extLst>
        </xdr:cNvPr>
        <xdr:cNvSpPr/>
      </xdr:nvSpPr>
      <xdr:spPr bwMode="auto">
        <a:xfrm>
          <a:off x="12106275" y="166166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78</xdr:row>
      <xdr:rowOff>119380</xdr:rowOff>
    </xdr:from>
    <xdr:to>
      <xdr:col>17</xdr:col>
      <xdr:colOff>63500</xdr:colOff>
      <xdr:row>79</xdr:row>
      <xdr:rowOff>0</xdr:rowOff>
    </xdr:to>
    <xdr:sp macro="" textlink="">
      <xdr:nvSpPr>
        <xdr:cNvPr id="1258" name="nuNumber: 394" hidden="1">
          <a:extLst>
            <a:ext uri="{FF2B5EF4-FFF2-40B4-BE49-F238E27FC236}">
              <a16:creationId xmlns:a16="http://schemas.microsoft.com/office/drawing/2014/main" id="{2B8975C4-6AF6-48E3-BEFF-9B2AC4525B5A}"/>
            </a:ext>
          </a:extLst>
        </xdr:cNvPr>
        <xdr:cNvSpPr/>
      </xdr:nvSpPr>
      <xdr:spPr bwMode="auto">
        <a:xfrm>
          <a:off x="12887325" y="166166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78</xdr:row>
      <xdr:rowOff>119380</xdr:rowOff>
    </xdr:from>
    <xdr:to>
      <xdr:col>18</xdr:col>
      <xdr:colOff>63499</xdr:colOff>
      <xdr:row>79</xdr:row>
      <xdr:rowOff>0</xdr:rowOff>
    </xdr:to>
    <xdr:sp macro="" textlink="">
      <xdr:nvSpPr>
        <xdr:cNvPr id="1259" name="nuNumber: 395" hidden="1">
          <a:extLst>
            <a:ext uri="{FF2B5EF4-FFF2-40B4-BE49-F238E27FC236}">
              <a16:creationId xmlns:a16="http://schemas.microsoft.com/office/drawing/2014/main" id="{CF42911A-4964-4D6A-AC93-CEBCD64000C8}"/>
            </a:ext>
          </a:extLst>
        </xdr:cNvPr>
        <xdr:cNvSpPr/>
      </xdr:nvSpPr>
      <xdr:spPr bwMode="auto">
        <a:xfrm>
          <a:off x="13624559" y="1661668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78</xdr:row>
      <xdr:rowOff>119380</xdr:rowOff>
    </xdr:from>
    <xdr:to>
      <xdr:col>19</xdr:col>
      <xdr:colOff>63500</xdr:colOff>
      <xdr:row>79</xdr:row>
      <xdr:rowOff>0</xdr:rowOff>
    </xdr:to>
    <xdr:sp macro="" textlink="">
      <xdr:nvSpPr>
        <xdr:cNvPr id="1260" name="nuNumber: 396" hidden="1">
          <a:extLst>
            <a:ext uri="{FF2B5EF4-FFF2-40B4-BE49-F238E27FC236}">
              <a16:creationId xmlns:a16="http://schemas.microsoft.com/office/drawing/2014/main" id="{B93895FC-AABF-4D27-ADDC-F7959CDCB393}"/>
            </a:ext>
          </a:extLst>
        </xdr:cNvPr>
        <xdr:cNvSpPr/>
      </xdr:nvSpPr>
      <xdr:spPr bwMode="auto">
        <a:xfrm>
          <a:off x="14382750" y="166166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78</xdr:row>
      <xdr:rowOff>119380</xdr:rowOff>
    </xdr:from>
    <xdr:to>
      <xdr:col>20</xdr:col>
      <xdr:colOff>63500</xdr:colOff>
      <xdr:row>79</xdr:row>
      <xdr:rowOff>0</xdr:rowOff>
    </xdr:to>
    <xdr:sp macro="" textlink="">
      <xdr:nvSpPr>
        <xdr:cNvPr id="1261" name="nuNumber: 397" hidden="1">
          <a:extLst>
            <a:ext uri="{FF2B5EF4-FFF2-40B4-BE49-F238E27FC236}">
              <a16:creationId xmlns:a16="http://schemas.microsoft.com/office/drawing/2014/main" id="{6E9F6F0D-D9A5-4F90-9AC0-98E96A9F3BE2}"/>
            </a:ext>
          </a:extLst>
        </xdr:cNvPr>
        <xdr:cNvSpPr/>
      </xdr:nvSpPr>
      <xdr:spPr bwMode="auto">
        <a:xfrm>
          <a:off x="15135225" y="166166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78</xdr:row>
      <xdr:rowOff>119380</xdr:rowOff>
    </xdr:from>
    <xdr:to>
      <xdr:col>21</xdr:col>
      <xdr:colOff>63500</xdr:colOff>
      <xdr:row>79</xdr:row>
      <xdr:rowOff>0</xdr:rowOff>
    </xdr:to>
    <xdr:sp macro="" textlink="">
      <xdr:nvSpPr>
        <xdr:cNvPr id="1262" name="nuNumber: 398" hidden="1">
          <a:extLst>
            <a:ext uri="{FF2B5EF4-FFF2-40B4-BE49-F238E27FC236}">
              <a16:creationId xmlns:a16="http://schemas.microsoft.com/office/drawing/2014/main" id="{E1A45BE1-5ED6-447D-9E85-7F93C3102FAF}"/>
            </a:ext>
          </a:extLst>
        </xdr:cNvPr>
        <xdr:cNvSpPr/>
      </xdr:nvSpPr>
      <xdr:spPr bwMode="auto">
        <a:xfrm>
          <a:off x="15849600" y="166166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20</xdr:row>
      <xdr:rowOff>119380</xdr:rowOff>
    </xdr:from>
    <xdr:to>
      <xdr:col>8</xdr:col>
      <xdr:colOff>63500</xdr:colOff>
      <xdr:row>21</xdr:row>
      <xdr:rowOff>0</xdr:rowOff>
    </xdr:to>
    <xdr:sp macro="" textlink="">
      <xdr:nvSpPr>
        <xdr:cNvPr id="1263" name="nuNumber: 79" hidden="1">
          <a:extLst>
            <a:ext uri="{FF2B5EF4-FFF2-40B4-BE49-F238E27FC236}">
              <a16:creationId xmlns:a16="http://schemas.microsoft.com/office/drawing/2014/main" id="{677B77D1-A91B-439D-B988-58D5755E098C}"/>
            </a:ext>
          </a:extLst>
        </xdr:cNvPr>
        <xdr:cNvSpPr/>
      </xdr:nvSpPr>
      <xdr:spPr bwMode="auto">
        <a:xfrm>
          <a:off x="5562600" y="44056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20</xdr:row>
      <xdr:rowOff>119380</xdr:rowOff>
    </xdr:from>
    <xdr:to>
      <xdr:col>9</xdr:col>
      <xdr:colOff>63500</xdr:colOff>
      <xdr:row>21</xdr:row>
      <xdr:rowOff>0</xdr:rowOff>
    </xdr:to>
    <xdr:sp macro="" textlink="">
      <xdr:nvSpPr>
        <xdr:cNvPr id="1264" name="nuNumber: 80" hidden="1">
          <a:extLst>
            <a:ext uri="{FF2B5EF4-FFF2-40B4-BE49-F238E27FC236}">
              <a16:creationId xmlns:a16="http://schemas.microsoft.com/office/drawing/2014/main" id="{2A43F74D-5944-4E6F-87EC-A8D17A671A0A}"/>
            </a:ext>
          </a:extLst>
        </xdr:cNvPr>
        <xdr:cNvSpPr/>
      </xdr:nvSpPr>
      <xdr:spPr bwMode="auto">
        <a:xfrm>
          <a:off x="6467475" y="44056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20</xdr:row>
      <xdr:rowOff>119380</xdr:rowOff>
    </xdr:from>
    <xdr:to>
      <xdr:col>9</xdr:col>
      <xdr:colOff>63500</xdr:colOff>
      <xdr:row>21</xdr:row>
      <xdr:rowOff>0</xdr:rowOff>
    </xdr:to>
    <xdr:sp macro="" textlink="">
      <xdr:nvSpPr>
        <xdr:cNvPr id="1265" name="nuNumber: 81" hidden="1">
          <a:extLst>
            <a:ext uri="{FF2B5EF4-FFF2-40B4-BE49-F238E27FC236}">
              <a16:creationId xmlns:a16="http://schemas.microsoft.com/office/drawing/2014/main" id="{F482C157-B37A-4A7B-BFA0-E0F4256E095A}"/>
            </a:ext>
          </a:extLst>
        </xdr:cNvPr>
        <xdr:cNvSpPr/>
      </xdr:nvSpPr>
      <xdr:spPr bwMode="auto">
        <a:xfrm>
          <a:off x="6467475" y="44056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20</xdr:row>
      <xdr:rowOff>119380</xdr:rowOff>
    </xdr:from>
    <xdr:to>
      <xdr:col>10</xdr:col>
      <xdr:colOff>63500</xdr:colOff>
      <xdr:row>21</xdr:row>
      <xdr:rowOff>0</xdr:rowOff>
    </xdr:to>
    <xdr:sp macro="" textlink="">
      <xdr:nvSpPr>
        <xdr:cNvPr id="1266" name="nuNumber: 82" hidden="1">
          <a:extLst>
            <a:ext uri="{FF2B5EF4-FFF2-40B4-BE49-F238E27FC236}">
              <a16:creationId xmlns:a16="http://schemas.microsoft.com/office/drawing/2014/main" id="{38B174EF-F2BE-42EB-99DF-D0FBDEA4D9F5}"/>
            </a:ext>
          </a:extLst>
        </xdr:cNvPr>
        <xdr:cNvSpPr/>
      </xdr:nvSpPr>
      <xdr:spPr bwMode="auto">
        <a:xfrm>
          <a:off x="7315200" y="44056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20</xdr:row>
      <xdr:rowOff>119380</xdr:rowOff>
    </xdr:from>
    <xdr:to>
      <xdr:col>11</xdr:col>
      <xdr:colOff>63500</xdr:colOff>
      <xdr:row>21</xdr:row>
      <xdr:rowOff>0</xdr:rowOff>
    </xdr:to>
    <xdr:sp macro="" textlink="">
      <xdr:nvSpPr>
        <xdr:cNvPr id="1267" name="nuNumber: 83" hidden="1">
          <a:extLst>
            <a:ext uri="{FF2B5EF4-FFF2-40B4-BE49-F238E27FC236}">
              <a16:creationId xmlns:a16="http://schemas.microsoft.com/office/drawing/2014/main" id="{D86D2EA3-3A87-4E79-A3A1-D30171938B3C}"/>
            </a:ext>
          </a:extLst>
        </xdr:cNvPr>
        <xdr:cNvSpPr/>
      </xdr:nvSpPr>
      <xdr:spPr bwMode="auto">
        <a:xfrm>
          <a:off x="8105775" y="44056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20</xdr:row>
      <xdr:rowOff>119380</xdr:rowOff>
    </xdr:from>
    <xdr:to>
      <xdr:col>12</xdr:col>
      <xdr:colOff>63500</xdr:colOff>
      <xdr:row>21</xdr:row>
      <xdr:rowOff>0</xdr:rowOff>
    </xdr:to>
    <xdr:sp macro="" textlink="">
      <xdr:nvSpPr>
        <xdr:cNvPr id="1268" name="nuNumber: 84" hidden="1">
          <a:extLst>
            <a:ext uri="{FF2B5EF4-FFF2-40B4-BE49-F238E27FC236}">
              <a16:creationId xmlns:a16="http://schemas.microsoft.com/office/drawing/2014/main" id="{F9BA1F47-EF4B-4447-8280-6719DD0B9FC8}"/>
            </a:ext>
          </a:extLst>
        </xdr:cNvPr>
        <xdr:cNvSpPr/>
      </xdr:nvSpPr>
      <xdr:spPr bwMode="auto">
        <a:xfrm>
          <a:off x="8972550" y="44056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20</xdr:row>
      <xdr:rowOff>119380</xdr:rowOff>
    </xdr:from>
    <xdr:to>
      <xdr:col>13</xdr:col>
      <xdr:colOff>63500</xdr:colOff>
      <xdr:row>21</xdr:row>
      <xdr:rowOff>0</xdr:rowOff>
    </xdr:to>
    <xdr:sp macro="" textlink="">
      <xdr:nvSpPr>
        <xdr:cNvPr id="1269" name="nuNumber: 85" hidden="1">
          <a:extLst>
            <a:ext uri="{FF2B5EF4-FFF2-40B4-BE49-F238E27FC236}">
              <a16:creationId xmlns:a16="http://schemas.microsoft.com/office/drawing/2014/main" id="{03A8A171-2CE6-4759-874A-668A51EE6E02}"/>
            </a:ext>
          </a:extLst>
        </xdr:cNvPr>
        <xdr:cNvSpPr/>
      </xdr:nvSpPr>
      <xdr:spPr bwMode="auto">
        <a:xfrm>
          <a:off x="9753600" y="44056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20</xdr:row>
      <xdr:rowOff>119380</xdr:rowOff>
    </xdr:from>
    <xdr:to>
      <xdr:col>14</xdr:col>
      <xdr:colOff>63500</xdr:colOff>
      <xdr:row>21</xdr:row>
      <xdr:rowOff>0</xdr:rowOff>
    </xdr:to>
    <xdr:sp macro="" textlink="">
      <xdr:nvSpPr>
        <xdr:cNvPr id="1270" name="nuNumber: 86" hidden="1">
          <a:extLst>
            <a:ext uri="{FF2B5EF4-FFF2-40B4-BE49-F238E27FC236}">
              <a16:creationId xmlns:a16="http://schemas.microsoft.com/office/drawing/2014/main" id="{24D505D4-808B-4163-968E-4B9C8C086198}"/>
            </a:ext>
          </a:extLst>
        </xdr:cNvPr>
        <xdr:cNvSpPr/>
      </xdr:nvSpPr>
      <xdr:spPr bwMode="auto">
        <a:xfrm>
          <a:off x="10515600" y="44056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20</xdr:row>
      <xdr:rowOff>119380</xdr:rowOff>
    </xdr:from>
    <xdr:to>
      <xdr:col>15</xdr:col>
      <xdr:colOff>63500</xdr:colOff>
      <xdr:row>21</xdr:row>
      <xdr:rowOff>0</xdr:rowOff>
    </xdr:to>
    <xdr:sp macro="" textlink="">
      <xdr:nvSpPr>
        <xdr:cNvPr id="1271" name="nuNumber: 87" hidden="1">
          <a:extLst>
            <a:ext uri="{FF2B5EF4-FFF2-40B4-BE49-F238E27FC236}">
              <a16:creationId xmlns:a16="http://schemas.microsoft.com/office/drawing/2014/main" id="{304C3ABD-3903-44ED-89A5-9B52B3B58171}"/>
            </a:ext>
          </a:extLst>
        </xdr:cNvPr>
        <xdr:cNvSpPr/>
      </xdr:nvSpPr>
      <xdr:spPr bwMode="auto">
        <a:xfrm>
          <a:off x="11325225" y="44056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20</xdr:row>
      <xdr:rowOff>119380</xdr:rowOff>
    </xdr:from>
    <xdr:to>
      <xdr:col>16</xdr:col>
      <xdr:colOff>63500</xdr:colOff>
      <xdr:row>21</xdr:row>
      <xdr:rowOff>0</xdr:rowOff>
    </xdr:to>
    <xdr:sp macro="" textlink="">
      <xdr:nvSpPr>
        <xdr:cNvPr id="1272" name="nuNumber: 88" hidden="1">
          <a:extLst>
            <a:ext uri="{FF2B5EF4-FFF2-40B4-BE49-F238E27FC236}">
              <a16:creationId xmlns:a16="http://schemas.microsoft.com/office/drawing/2014/main" id="{D6328A2C-9153-43E3-9C21-FAA561D123BA}"/>
            </a:ext>
          </a:extLst>
        </xdr:cNvPr>
        <xdr:cNvSpPr/>
      </xdr:nvSpPr>
      <xdr:spPr bwMode="auto">
        <a:xfrm>
          <a:off x="12106275" y="44056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20</xdr:row>
      <xdr:rowOff>119380</xdr:rowOff>
    </xdr:from>
    <xdr:to>
      <xdr:col>17</xdr:col>
      <xdr:colOff>63500</xdr:colOff>
      <xdr:row>21</xdr:row>
      <xdr:rowOff>0</xdr:rowOff>
    </xdr:to>
    <xdr:sp macro="" textlink="">
      <xdr:nvSpPr>
        <xdr:cNvPr id="1273" name="nuNumber: 89" hidden="1">
          <a:extLst>
            <a:ext uri="{FF2B5EF4-FFF2-40B4-BE49-F238E27FC236}">
              <a16:creationId xmlns:a16="http://schemas.microsoft.com/office/drawing/2014/main" id="{EB559E06-75AD-4C38-A849-ABCEB29B57E1}"/>
            </a:ext>
          </a:extLst>
        </xdr:cNvPr>
        <xdr:cNvSpPr/>
      </xdr:nvSpPr>
      <xdr:spPr bwMode="auto">
        <a:xfrm>
          <a:off x="12887325" y="44056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20</xdr:row>
      <xdr:rowOff>119380</xdr:rowOff>
    </xdr:from>
    <xdr:to>
      <xdr:col>18</xdr:col>
      <xdr:colOff>63499</xdr:colOff>
      <xdr:row>21</xdr:row>
      <xdr:rowOff>0</xdr:rowOff>
    </xdr:to>
    <xdr:sp macro="" textlink="">
      <xdr:nvSpPr>
        <xdr:cNvPr id="1274" name="nuNumber: 90" hidden="1">
          <a:extLst>
            <a:ext uri="{FF2B5EF4-FFF2-40B4-BE49-F238E27FC236}">
              <a16:creationId xmlns:a16="http://schemas.microsoft.com/office/drawing/2014/main" id="{D1A9ACEA-651C-4FC6-A1E2-B68921102DB4}"/>
            </a:ext>
          </a:extLst>
        </xdr:cNvPr>
        <xdr:cNvSpPr/>
      </xdr:nvSpPr>
      <xdr:spPr bwMode="auto">
        <a:xfrm>
          <a:off x="13624559" y="440563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20</xdr:row>
      <xdr:rowOff>119380</xdr:rowOff>
    </xdr:from>
    <xdr:to>
      <xdr:col>19</xdr:col>
      <xdr:colOff>63500</xdr:colOff>
      <xdr:row>21</xdr:row>
      <xdr:rowOff>0</xdr:rowOff>
    </xdr:to>
    <xdr:sp macro="" textlink="">
      <xdr:nvSpPr>
        <xdr:cNvPr id="1275" name="nuNumber: 91" hidden="1">
          <a:extLst>
            <a:ext uri="{FF2B5EF4-FFF2-40B4-BE49-F238E27FC236}">
              <a16:creationId xmlns:a16="http://schemas.microsoft.com/office/drawing/2014/main" id="{08C36D5C-F08D-4013-8E65-DB918ADE8C49}"/>
            </a:ext>
          </a:extLst>
        </xdr:cNvPr>
        <xdr:cNvSpPr/>
      </xdr:nvSpPr>
      <xdr:spPr bwMode="auto">
        <a:xfrm>
          <a:off x="14382750" y="44056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20</xdr:row>
      <xdr:rowOff>119380</xdr:rowOff>
    </xdr:from>
    <xdr:to>
      <xdr:col>20</xdr:col>
      <xdr:colOff>63500</xdr:colOff>
      <xdr:row>21</xdr:row>
      <xdr:rowOff>0</xdr:rowOff>
    </xdr:to>
    <xdr:sp macro="" textlink="">
      <xdr:nvSpPr>
        <xdr:cNvPr id="1276" name="nuNumber: 92" hidden="1">
          <a:extLst>
            <a:ext uri="{FF2B5EF4-FFF2-40B4-BE49-F238E27FC236}">
              <a16:creationId xmlns:a16="http://schemas.microsoft.com/office/drawing/2014/main" id="{9927A5D9-0A78-4C1C-98BD-352591A9B670}"/>
            </a:ext>
          </a:extLst>
        </xdr:cNvPr>
        <xdr:cNvSpPr/>
      </xdr:nvSpPr>
      <xdr:spPr bwMode="auto">
        <a:xfrm>
          <a:off x="15135225" y="44056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20</xdr:row>
      <xdr:rowOff>119380</xdr:rowOff>
    </xdr:from>
    <xdr:to>
      <xdr:col>21</xdr:col>
      <xdr:colOff>63500</xdr:colOff>
      <xdr:row>21</xdr:row>
      <xdr:rowOff>0</xdr:rowOff>
    </xdr:to>
    <xdr:sp macro="" textlink="">
      <xdr:nvSpPr>
        <xdr:cNvPr id="1277" name="nuNumber: 93" hidden="1">
          <a:extLst>
            <a:ext uri="{FF2B5EF4-FFF2-40B4-BE49-F238E27FC236}">
              <a16:creationId xmlns:a16="http://schemas.microsoft.com/office/drawing/2014/main" id="{107EA92E-4E18-464E-9442-192656854847}"/>
            </a:ext>
          </a:extLst>
        </xdr:cNvPr>
        <xdr:cNvSpPr/>
      </xdr:nvSpPr>
      <xdr:spPr bwMode="auto">
        <a:xfrm>
          <a:off x="15849600" y="44056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138</xdr:row>
      <xdr:rowOff>119380</xdr:rowOff>
    </xdr:from>
    <xdr:to>
      <xdr:col>8</xdr:col>
      <xdr:colOff>63500</xdr:colOff>
      <xdr:row>139</xdr:row>
      <xdr:rowOff>0</xdr:rowOff>
    </xdr:to>
    <xdr:sp macro="" textlink="">
      <xdr:nvSpPr>
        <xdr:cNvPr id="1278" name="nuNumber: 689" hidden="1">
          <a:extLst>
            <a:ext uri="{FF2B5EF4-FFF2-40B4-BE49-F238E27FC236}">
              <a16:creationId xmlns:a16="http://schemas.microsoft.com/office/drawing/2014/main" id="{467F50A7-86CF-4451-AFCA-C11A35F13799}"/>
            </a:ext>
          </a:extLst>
        </xdr:cNvPr>
        <xdr:cNvSpPr/>
      </xdr:nvSpPr>
      <xdr:spPr bwMode="auto">
        <a:xfrm>
          <a:off x="5562600" y="292373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138</xdr:row>
      <xdr:rowOff>119380</xdr:rowOff>
    </xdr:from>
    <xdr:to>
      <xdr:col>9</xdr:col>
      <xdr:colOff>63500</xdr:colOff>
      <xdr:row>139</xdr:row>
      <xdr:rowOff>0</xdr:rowOff>
    </xdr:to>
    <xdr:sp macro="" textlink="">
      <xdr:nvSpPr>
        <xdr:cNvPr id="1279" name="nuNumber: 690" hidden="1">
          <a:extLst>
            <a:ext uri="{FF2B5EF4-FFF2-40B4-BE49-F238E27FC236}">
              <a16:creationId xmlns:a16="http://schemas.microsoft.com/office/drawing/2014/main" id="{2C0406CA-79D8-439D-B5D1-4472A65D7973}"/>
            </a:ext>
          </a:extLst>
        </xdr:cNvPr>
        <xdr:cNvSpPr/>
      </xdr:nvSpPr>
      <xdr:spPr bwMode="auto">
        <a:xfrm>
          <a:off x="6467475" y="292373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138</xdr:row>
      <xdr:rowOff>119380</xdr:rowOff>
    </xdr:from>
    <xdr:to>
      <xdr:col>9</xdr:col>
      <xdr:colOff>63500</xdr:colOff>
      <xdr:row>139</xdr:row>
      <xdr:rowOff>0</xdr:rowOff>
    </xdr:to>
    <xdr:sp macro="" textlink="">
      <xdr:nvSpPr>
        <xdr:cNvPr id="1280" name="nuNumber: 691" hidden="1">
          <a:extLst>
            <a:ext uri="{FF2B5EF4-FFF2-40B4-BE49-F238E27FC236}">
              <a16:creationId xmlns:a16="http://schemas.microsoft.com/office/drawing/2014/main" id="{E685B2B5-1DE4-4EC6-A297-E4C45E94DF2E}"/>
            </a:ext>
          </a:extLst>
        </xdr:cNvPr>
        <xdr:cNvSpPr/>
      </xdr:nvSpPr>
      <xdr:spPr bwMode="auto">
        <a:xfrm>
          <a:off x="6467475" y="292373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138</xdr:row>
      <xdr:rowOff>119380</xdr:rowOff>
    </xdr:from>
    <xdr:to>
      <xdr:col>10</xdr:col>
      <xdr:colOff>63500</xdr:colOff>
      <xdr:row>139</xdr:row>
      <xdr:rowOff>0</xdr:rowOff>
    </xdr:to>
    <xdr:sp macro="" textlink="">
      <xdr:nvSpPr>
        <xdr:cNvPr id="1281" name="nuNumber: 692" hidden="1">
          <a:extLst>
            <a:ext uri="{FF2B5EF4-FFF2-40B4-BE49-F238E27FC236}">
              <a16:creationId xmlns:a16="http://schemas.microsoft.com/office/drawing/2014/main" id="{B0A7FCD1-5B18-4B6B-B3F6-5869BF2D0B23}"/>
            </a:ext>
          </a:extLst>
        </xdr:cNvPr>
        <xdr:cNvSpPr/>
      </xdr:nvSpPr>
      <xdr:spPr bwMode="auto">
        <a:xfrm>
          <a:off x="7315200" y="292373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138</xdr:row>
      <xdr:rowOff>119380</xdr:rowOff>
    </xdr:from>
    <xdr:to>
      <xdr:col>11</xdr:col>
      <xdr:colOff>63500</xdr:colOff>
      <xdr:row>139</xdr:row>
      <xdr:rowOff>0</xdr:rowOff>
    </xdr:to>
    <xdr:sp macro="" textlink="">
      <xdr:nvSpPr>
        <xdr:cNvPr id="1282" name="nuNumber: 693" hidden="1">
          <a:extLst>
            <a:ext uri="{FF2B5EF4-FFF2-40B4-BE49-F238E27FC236}">
              <a16:creationId xmlns:a16="http://schemas.microsoft.com/office/drawing/2014/main" id="{D9B95C7D-0F06-4167-B253-D2FBF81B03D9}"/>
            </a:ext>
          </a:extLst>
        </xdr:cNvPr>
        <xdr:cNvSpPr/>
      </xdr:nvSpPr>
      <xdr:spPr bwMode="auto">
        <a:xfrm>
          <a:off x="8105775" y="292373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138</xdr:row>
      <xdr:rowOff>119380</xdr:rowOff>
    </xdr:from>
    <xdr:to>
      <xdr:col>12</xdr:col>
      <xdr:colOff>63500</xdr:colOff>
      <xdr:row>139</xdr:row>
      <xdr:rowOff>0</xdr:rowOff>
    </xdr:to>
    <xdr:sp macro="" textlink="">
      <xdr:nvSpPr>
        <xdr:cNvPr id="1283" name="nuNumber: 694" hidden="1">
          <a:extLst>
            <a:ext uri="{FF2B5EF4-FFF2-40B4-BE49-F238E27FC236}">
              <a16:creationId xmlns:a16="http://schemas.microsoft.com/office/drawing/2014/main" id="{C0176F2F-85E3-4D3E-A5A8-A3170B078F35}"/>
            </a:ext>
          </a:extLst>
        </xdr:cNvPr>
        <xdr:cNvSpPr/>
      </xdr:nvSpPr>
      <xdr:spPr bwMode="auto">
        <a:xfrm>
          <a:off x="8972550" y="292373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138</xdr:row>
      <xdr:rowOff>119380</xdr:rowOff>
    </xdr:from>
    <xdr:to>
      <xdr:col>13</xdr:col>
      <xdr:colOff>63500</xdr:colOff>
      <xdr:row>139</xdr:row>
      <xdr:rowOff>0</xdr:rowOff>
    </xdr:to>
    <xdr:sp macro="" textlink="">
      <xdr:nvSpPr>
        <xdr:cNvPr id="1284" name="nuNumber: 695" hidden="1">
          <a:extLst>
            <a:ext uri="{FF2B5EF4-FFF2-40B4-BE49-F238E27FC236}">
              <a16:creationId xmlns:a16="http://schemas.microsoft.com/office/drawing/2014/main" id="{C0351E04-7CE3-4EAD-B4A7-A464E93CE5A9}"/>
            </a:ext>
          </a:extLst>
        </xdr:cNvPr>
        <xdr:cNvSpPr/>
      </xdr:nvSpPr>
      <xdr:spPr bwMode="auto">
        <a:xfrm>
          <a:off x="9753600" y="292373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138</xdr:row>
      <xdr:rowOff>119380</xdr:rowOff>
    </xdr:from>
    <xdr:to>
      <xdr:col>14</xdr:col>
      <xdr:colOff>63500</xdr:colOff>
      <xdr:row>139</xdr:row>
      <xdr:rowOff>0</xdr:rowOff>
    </xdr:to>
    <xdr:sp macro="" textlink="">
      <xdr:nvSpPr>
        <xdr:cNvPr id="1285" name="nuNumber: 696" hidden="1">
          <a:extLst>
            <a:ext uri="{FF2B5EF4-FFF2-40B4-BE49-F238E27FC236}">
              <a16:creationId xmlns:a16="http://schemas.microsoft.com/office/drawing/2014/main" id="{CE7AF9A4-C1F4-418D-930A-8C62C988028A}"/>
            </a:ext>
          </a:extLst>
        </xdr:cNvPr>
        <xdr:cNvSpPr/>
      </xdr:nvSpPr>
      <xdr:spPr bwMode="auto">
        <a:xfrm>
          <a:off x="10515600" y="292373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138</xdr:row>
      <xdr:rowOff>119380</xdr:rowOff>
    </xdr:from>
    <xdr:to>
      <xdr:col>15</xdr:col>
      <xdr:colOff>63500</xdr:colOff>
      <xdr:row>139</xdr:row>
      <xdr:rowOff>0</xdr:rowOff>
    </xdr:to>
    <xdr:sp macro="" textlink="">
      <xdr:nvSpPr>
        <xdr:cNvPr id="1286" name="nuNumber: 697" hidden="1">
          <a:extLst>
            <a:ext uri="{FF2B5EF4-FFF2-40B4-BE49-F238E27FC236}">
              <a16:creationId xmlns:a16="http://schemas.microsoft.com/office/drawing/2014/main" id="{EE92C7BA-70BB-47C1-A678-C33D78FA4441}"/>
            </a:ext>
          </a:extLst>
        </xdr:cNvPr>
        <xdr:cNvSpPr/>
      </xdr:nvSpPr>
      <xdr:spPr bwMode="auto">
        <a:xfrm>
          <a:off x="11325225" y="292373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138</xdr:row>
      <xdr:rowOff>119380</xdr:rowOff>
    </xdr:from>
    <xdr:to>
      <xdr:col>16</xdr:col>
      <xdr:colOff>63500</xdr:colOff>
      <xdr:row>139</xdr:row>
      <xdr:rowOff>0</xdr:rowOff>
    </xdr:to>
    <xdr:sp macro="" textlink="">
      <xdr:nvSpPr>
        <xdr:cNvPr id="1287" name="nuNumber: 698" hidden="1">
          <a:extLst>
            <a:ext uri="{FF2B5EF4-FFF2-40B4-BE49-F238E27FC236}">
              <a16:creationId xmlns:a16="http://schemas.microsoft.com/office/drawing/2014/main" id="{C0FF20B3-1F95-4C20-8BAA-AB59EBF288E9}"/>
            </a:ext>
          </a:extLst>
        </xdr:cNvPr>
        <xdr:cNvSpPr/>
      </xdr:nvSpPr>
      <xdr:spPr bwMode="auto">
        <a:xfrm>
          <a:off x="12106275" y="292373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138</xdr:row>
      <xdr:rowOff>119380</xdr:rowOff>
    </xdr:from>
    <xdr:to>
      <xdr:col>17</xdr:col>
      <xdr:colOff>63500</xdr:colOff>
      <xdr:row>139</xdr:row>
      <xdr:rowOff>0</xdr:rowOff>
    </xdr:to>
    <xdr:sp macro="" textlink="">
      <xdr:nvSpPr>
        <xdr:cNvPr id="1288" name="nuNumber: 699" hidden="1">
          <a:extLst>
            <a:ext uri="{FF2B5EF4-FFF2-40B4-BE49-F238E27FC236}">
              <a16:creationId xmlns:a16="http://schemas.microsoft.com/office/drawing/2014/main" id="{FD200191-73F8-439E-B5B2-8D2170A208C3}"/>
            </a:ext>
          </a:extLst>
        </xdr:cNvPr>
        <xdr:cNvSpPr/>
      </xdr:nvSpPr>
      <xdr:spPr bwMode="auto">
        <a:xfrm>
          <a:off x="12887325" y="292373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138</xdr:row>
      <xdr:rowOff>119380</xdr:rowOff>
    </xdr:from>
    <xdr:to>
      <xdr:col>18</xdr:col>
      <xdr:colOff>63499</xdr:colOff>
      <xdr:row>139</xdr:row>
      <xdr:rowOff>0</xdr:rowOff>
    </xdr:to>
    <xdr:sp macro="" textlink="">
      <xdr:nvSpPr>
        <xdr:cNvPr id="1289" name="nuNumber: 700" hidden="1">
          <a:extLst>
            <a:ext uri="{FF2B5EF4-FFF2-40B4-BE49-F238E27FC236}">
              <a16:creationId xmlns:a16="http://schemas.microsoft.com/office/drawing/2014/main" id="{BAF539D2-9BDA-4C5A-A8AC-0C70915EA369}"/>
            </a:ext>
          </a:extLst>
        </xdr:cNvPr>
        <xdr:cNvSpPr/>
      </xdr:nvSpPr>
      <xdr:spPr bwMode="auto">
        <a:xfrm>
          <a:off x="13624559" y="29237305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138</xdr:row>
      <xdr:rowOff>119380</xdr:rowOff>
    </xdr:from>
    <xdr:to>
      <xdr:col>19</xdr:col>
      <xdr:colOff>63500</xdr:colOff>
      <xdr:row>139</xdr:row>
      <xdr:rowOff>0</xdr:rowOff>
    </xdr:to>
    <xdr:sp macro="" textlink="">
      <xdr:nvSpPr>
        <xdr:cNvPr id="1290" name="nuNumber: 701" hidden="1">
          <a:extLst>
            <a:ext uri="{FF2B5EF4-FFF2-40B4-BE49-F238E27FC236}">
              <a16:creationId xmlns:a16="http://schemas.microsoft.com/office/drawing/2014/main" id="{7EC5E57A-D5A7-4DF8-8915-2E159F42DFD1}"/>
            </a:ext>
          </a:extLst>
        </xdr:cNvPr>
        <xdr:cNvSpPr/>
      </xdr:nvSpPr>
      <xdr:spPr bwMode="auto">
        <a:xfrm>
          <a:off x="14382750" y="292373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138</xdr:row>
      <xdr:rowOff>119380</xdr:rowOff>
    </xdr:from>
    <xdr:to>
      <xdr:col>20</xdr:col>
      <xdr:colOff>63500</xdr:colOff>
      <xdr:row>139</xdr:row>
      <xdr:rowOff>0</xdr:rowOff>
    </xdr:to>
    <xdr:sp macro="" textlink="">
      <xdr:nvSpPr>
        <xdr:cNvPr id="1291" name="nuNumber: 702" hidden="1">
          <a:extLst>
            <a:ext uri="{FF2B5EF4-FFF2-40B4-BE49-F238E27FC236}">
              <a16:creationId xmlns:a16="http://schemas.microsoft.com/office/drawing/2014/main" id="{72D972B4-3900-4A17-837F-96AFD85BBD44}"/>
            </a:ext>
          </a:extLst>
        </xdr:cNvPr>
        <xdr:cNvSpPr/>
      </xdr:nvSpPr>
      <xdr:spPr bwMode="auto">
        <a:xfrm>
          <a:off x="15135225" y="292373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138</xdr:row>
      <xdr:rowOff>119380</xdr:rowOff>
    </xdr:from>
    <xdr:to>
      <xdr:col>21</xdr:col>
      <xdr:colOff>63500</xdr:colOff>
      <xdr:row>139</xdr:row>
      <xdr:rowOff>0</xdr:rowOff>
    </xdr:to>
    <xdr:sp macro="" textlink="">
      <xdr:nvSpPr>
        <xdr:cNvPr id="1292" name="nuNumber: 703" hidden="1">
          <a:extLst>
            <a:ext uri="{FF2B5EF4-FFF2-40B4-BE49-F238E27FC236}">
              <a16:creationId xmlns:a16="http://schemas.microsoft.com/office/drawing/2014/main" id="{0772082C-6B86-4445-81E1-B495FBD7A6A0}"/>
            </a:ext>
          </a:extLst>
        </xdr:cNvPr>
        <xdr:cNvSpPr/>
      </xdr:nvSpPr>
      <xdr:spPr bwMode="auto">
        <a:xfrm>
          <a:off x="15849600" y="2923730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21</xdr:row>
      <xdr:rowOff>119380</xdr:rowOff>
    </xdr:from>
    <xdr:to>
      <xdr:col>8</xdr:col>
      <xdr:colOff>63500</xdr:colOff>
      <xdr:row>22</xdr:row>
      <xdr:rowOff>0</xdr:rowOff>
    </xdr:to>
    <xdr:sp macro="" textlink="">
      <xdr:nvSpPr>
        <xdr:cNvPr id="1293" name="nuNumber: 79" hidden="1">
          <a:extLst>
            <a:ext uri="{FF2B5EF4-FFF2-40B4-BE49-F238E27FC236}">
              <a16:creationId xmlns:a16="http://schemas.microsoft.com/office/drawing/2014/main" id="{8E647F50-F215-47E9-B5C8-369E045DA4B5}"/>
            </a:ext>
          </a:extLst>
        </xdr:cNvPr>
        <xdr:cNvSpPr/>
      </xdr:nvSpPr>
      <xdr:spPr bwMode="auto">
        <a:xfrm>
          <a:off x="5562600" y="46151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21</xdr:row>
      <xdr:rowOff>119380</xdr:rowOff>
    </xdr:from>
    <xdr:to>
      <xdr:col>9</xdr:col>
      <xdr:colOff>63500</xdr:colOff>
      <xdr:row>22</xdr:row>
      <xdr:rowOff>0</xdr:rowOff>
    </xdr:to>
    <xdr:sp macro="" textlink="">
      <xdr:nvSpPr>
        <xdr:cNvPr id="1294" name="nuNumber: 80" hidden="1">
          <a:extLst>
            <a:ext uri="{FF2B5EF4-FFF2-40B4-BE49-F238E27FC236}">
              <a16:creationId xmlns:a16="http://schemas.microsoft.com/office/drawing/2014/main" id="{A26DEA80-158D-4AD4-937C-173D098D035E}"/>
            </a:ext>
          </a:extLst>
        </xdr:cNvPr>
        <xdr:cNvSpPr/>
      </xdr:nvSpPr>
      <xdr:spPr bwMode="auto">
        <a:xfrm>
          <a:off x="6467475" y="46151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21</xdr:row>
      <xdr:rowOff>119380</xdr:rowOff>
    </xdr:from>
    <xdr:to>
      <xdr:col>9</xdr:col>
      <xdr:colOff>63500</xdr:colOff>
      <xdr:row>22</xdr:row>
      <xdr:rowOff>0</xdr:rowOff>
    </xdr:to>
    <xdr:sp macro="" textlink="">
      <xdr:nvSpPr>
        <xdr:cNvPr id="1295" name="nuNumber: 81" hidden="1">
          <a:extLst>
            <a:ext uri="{FF2B5EF4-FFF2-40B4-BE49-F238E27FC236}">
              <a16:creationId xmlns:a16="http://schemas.microsoft.com/office/drawing/2014/main" id="{FBB621E6-8E86-41BD-8678-353970239826}"/>
            </a:ext>
          </a:extLst>
        </xdr:cNvPr>
        <xdr:cNvSpPr/>
      </xdr:nvSpPr>
      <xdr:spPr bwMode="auto">
        <a:xfrm>
          <a:off x="6467475" y="46151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21</xdr:row>
      <xdr:rowOff>119380</xdr:rowOff>
    </xdr:from>
    <xdr:to>
      <xdr:col>10</xdr:col>
      <xdr:colOff>63500</xdr:colOff>
      <xdr:row>22</xdr:row>
      <xdr:rowOff>0</xdr:rowOff>
    </xdr:to>
    <xdr:sp macro="" textlink="">
      <xdr:nvSpPr>
        <xdr:cNvPr id="1296" name="nuNumber: 82" hidden="1">
          <a:extLst>
            <a:ext uri="{FF2B5EF4-FFF2-40B4-BE49-F238E27FC236}">
              <a16:creationId xmlns:a16="http://schemas.microsoft.com/office/drawing/2014/main" id="{CA072EB5-7C38-4CD6-A375-890DFCFBAED7}"/>
            </a:ext>
          </a:extLst>
        </xdr:cNvPr>
        <xdr:cNvSpPr/>
      </xdr:nvSpPr>
      <xdr:spPr bwMode="auto">
        <a:xfrm>
          <a:off x="7315200" y="46151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21</xdr:row>
      <xdr:rowOff>119380</xdr:rowOff>
    </xdr:from>
    <xdr:to>
      <xdr:col>11</xdr:col>
      <xdr:colOff>63500</xdr:colOff>
      <xdr:row>22</xdr:row>
      <xdr:rowOff>0</xdr:rowOff>
    </xdr:to>
    <xdr:sp macro="" textlink="">
      <xdr:nvSpPr>
        <xdr:cNvPr id="1297" name="nuNumber: 83" hidden="1">
          <a:extLst>
            <a:ext uri="{FF2B5EF4-FFF2-40B4-BE49-F238E27FC236}">
              <a16:creationId xmlns:a16="http://schemas.microsoft.com/office/drawing/2014/main" id="{92E92888-BEC2-49AE-92FA-B9D13DA77034}"/>
            </a:ext>
          </a:extLst>
        </xdr:cNvPr>
        <xdr:cNvSpPr/>
      </xdr:nvSpPr>
      <xdr:spPr bwMode="auto">
        <a:xfrm>
          <a:off x="8105775" y="46151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21</xdr:row>
      <xdr:rowOff>119380</xdr:rowOff>
    </xdr:from>
    <xdr:to>
      <xdr:col>12</xdr:col>
      <xdr:colOff>63500</xdr:colOff>
      <xdr:row>22</xdr:row>
      <xdr:rowOff>0</xdr:rowOff>
    </xdr:to>
    <xdr:sp macro="" textlink="">
      <xdr:nvSpPr>
        <xdr:cNvPr id="1298" name="nuNumber: 84" hidden="1">
          <a:extLst>
            <a:ext uri="{FF2B5EF4-FFF2-40B4-BE49-F238E27FC236}">
              <a16:creationId xmlns:a16="http://schemas.microsoft.com/office/drawing/2014/main" id="{22F0B903-57DB-49B7-9859-AD4B3872D2DC}"/>
            </a:ext>
          </a:extLst>
        </xdr:cNvPr>
        <xdr:cNvSpPr/>
      </xdr:nvSpPr>
      <xdr:spPr bwMode="auto">
        <a:xfrm>
          <a:off x="8972550" y="46151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21</xdr:row>
      <xdr:rowOff>119380</xdr:rowOff>
    </xdr:from>
    <xdr:to>
      <xdr:col>13</xdr:col>
      <xdr:colOff>63500</xdr:colOff>
      <xdr:row>22</xdr:row>
      <xdr:rowOff>0</xdr:rowOff>
    </xdr:to>
    <xdr:sp macro="" textlink="">
      <xdr:nvSpPr>
        <xdr:cNvPr id="1299" name="nuNumber: 85" hidden="1">
          <a:extLst>
            <a:ext uri="{FF2B5EF4-FFF2-40B4-BE49-F238E27FC236}">
              <a16:creationId xmlns:a16="http://schemas.microsoft.com/office/drawing/2014/main" id="{17A0A00D-ECFC-4C65-B630-B5CEF72A0545}"/>
            </a:ext>
          </a:extLst>
        </xdr:cNvPr>
        <xdr:cNvSpPr/>
      </xdr:nvSpPr>
      <xdr:spPr bwMode="auto">
        <a:xfrm>
          <a:off x="9753600" y="46151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21</xdr:row>
      <xdr:rowOff>119380</xdr:rowOff>
    </xdr:from>
    <xdr:to>
      <xdr:col>14</xdr:col>
      <xdr:colOff>63500</xdr:colOff>
      <xdr:row>22</xdr:row>
      <xdr:rowOff>0</xdr:rowOff>
    </xdr:to>
    <xdr:sp macro="" textlink="">
      <xdr:nvSpPr>
        <xdr:cNvPr id="1300" name="nuNumber: 86" hidden="1">
          <a:extLst>
            <a:ext uri="{FF2B5EF4-FFF2-40B4-BE49-F238E27FC236}">
              <a16:creationId xmlns:a16="http://schemas.microsoft.com/office/drawing/2014/main" id="{D831A733-5F00-4F0F-9F0F-4CBD9C16BE65}"/>
            </a:ext>
          </a:extLst>
        </xdr:cNvPr>
        <xdr:cNvSpPr/>
      </xdr:nvSpPr>
      <xdr:spPr bwMode="auto">
        <a:xfrm>
          <a:off x="10515600" y="46151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21</xdr:row>
      <xdr:rowOff>119380</xdr:rowOff>
    </xdr:from>
    <xdr:to>
      <xdr:col>15</xdr:col>
      <xdr:colOff>63500</xdr:colOff>
      <xdr:row>22</xdr:row>
      <xdr:rowOff>0</xdr:rowOff>
    </xdr:to>
    <xdr:sp macro="" textlink="">
      <xdr:nvSpPr>
        <xdr:cNvPr id="1301" name="nuNumber: 87" hidden="1">
          <a:extLst>
            <a:ext uri="{FF2B5EF4-FFF2-40B4-BE49-F238E27FC236}">
              <a16:creationId xmlns:a16="http://schemas.microsoft.com/office/drawing/2014/main" id="{4669F4E8-7929-4B6C-8CA7-BB50F144E901}"/>
            </a:ext>
          </a:extLst>
        </xdr:cNvPr>
        <xdr:cNvSpPr/>
      </xdr:nvSpPr>
      <xdr:spPr bwMode="auto">
        <a:xfrm>
          <a:off x="11325225" y="46151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21</xdr:row>
      <xdr:rowOff>119380</xdr:rowOff>
    </xdr:from>
    <xdr:to>
      <xdr:col>16</xdr:col>
      <xdr:colOff>63500</xdr:colOff>
      <xdr:row>22</xdr:row>
      <xdr:rowOff>0</xdr:rowOff>
    </xdr:to>
    <xdr:sp macro="" textlink="">
      <xdr:nvSpPr>
        <xdr:cNvPr id="1302" name="nuNumber: 88" hidden="1">
          <a:extLst>
            <a:ext uri="{FF2B5EF4-FFF2-40B4-BE49-F238E27FC236}">
              <a16:creationId xmlns:a16="http://schemas.microsoft.com/office/drawing/2014/main" id="{2F227418-A7DC-4116-A0DB-0630D6DAF0D4}"/>
            </a:ext>
          </a:extLst>
        </xdr:cNvPr>
        <xdr:cNvSpPr/>
      </xdr:nvSpPr>
      <xdr:spPr bwMode="auto">
        <a:xfrm>
          <a:off x="12106275" y="46151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21</xdr:row>
      <xdr:rowOff>119380</xdr:rowOff>
    </xdr:from>
    <xdr:to>
      <xdr:col>17</xdr:col>
      <xdr:colOff>63500</xdr:colOff>
      <xdr:row>22</xdr:row>
      <xdr:rowOff>0</xdr:rowOff>
    </xdr:to>
    <xdr:sp macro="" textlink="">
      <xdr:nvSpPr>
        <xdr:cNvPr id="1303" name="nuNumber: 89" hidden="1">
          <a:extLst>
            <a:ext uri="{FF2B5EF4-FFF2-40B4-BE49-F238E27FC236}">
              <a16:creationId xmlns:a16="http://schemas.microsoft.com/office/drawing/2014/main" id="{80DC59BF-A8A0-4DA7-A75C-30533FFB17FC}"/>
            </a:ext>
          </a:extLst>
        </xdr:cNvPr>
        <xdr:cNvSpPr/>
      </xdr:nvSpPr>
      <xdr:spPr bwMode="auto">
        <a:xfrm>
          <a:off x="12887325" y="46151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21</xdr:row>
      <xdr:rowOff>119380</xdr:rowOff>
    </xdr:from>
    <xdr:to>
      <xdr:col>18</xdr:col>
      <xdr:colOff>63499</xdr:colOff>
      <xdr:row>22</xdr:row>
      <xdr:rowOff>0</xdr:rowOff>
    </xdr:to>
    <xdr:sp macro="" textlink="">
      <xdr:nvSpPr>
        <xdr:cNvPr id="1304" name="nuNumber: 90" hidden="1">
          <a:extLst>
            <a:ext uri="{FF2B5EF4-FFF2-40B4-BE49-F238E27FC236}">
              <a16:creationId xmlns:a16="http://schemas.microsoft.com/office/drawing/2014/main" id="{FF9539D0-8136-44AE-8DA9-358343F51D0A}"/>
            </a:ext>
          </a:extLst>
        </xdr:cNvPr>
        <xdr:cNvSpPr/>
      </xdr:nvSpPr>
      <xdr:spPr bwMode="auto">
        <a:xfrm>
          <a:off x="13624559" y="461518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21</xdr:row>
      <xdr:rowOff>119380</xdr:rowOff>
    </xdr:from>
    <xdr:to>
      <xdr:col>19</xdr:col>
      <xdr:colOff>63500</xdr:colOff>
      <xdr:row>22</xdr:row>
      <xdr:rowOff>0</xdr:rowOff>
    </xdr:to>
    <xdr:sp macro="" textlink="">
      <xdr:nvSpPr>
        <xdr:cNvPr id="1305" name="nuNumber: 91" hidden="1">
          <a:extLst>
            <a:ext uri="{FF2B5EF4-FFF2-40B4-BE49-F238E27FC236}">
              <a16:creationId xmlns:a16="http://schemas.microsoft.com/office/drawing/2014/main" id="{B9BF3DA3-A3C1-4191-8DC2-F5F6DF459EC1}"/>
            </a:ext>
          </a:extLst>
        </xdr:cNvPr>
        <xdr:cNvSpPr/>
      </xdr:nvSpPr>
      <xdr:spPr bwMode="auto">
        <a:xfrm>
          <a:off x="14382750" y="46151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21</xdr:row>
      <xdr:rowOff>119380</xdr:rowOff>
    </xdr:from>
    <xdr:to>
      <xdr:col>20</xdr:col>
      <xdr:colOff>63500</xdr:colOff>
      <xdr:row>22</xdr:row>
      <xdr:rowOff>0</xdr:rowOff>
    </xdr:to>
    <xdr:sp macro="" textlink="">
      <xdr:nvSpPr>
        <xdr:cNvPr id="1306" name="nuNumber: 92" hidden="1">
          <a:extLst>
            <a:ext uri="{FF2B5EF4-FFF2-40B4-BE49-F238E27FC236}">
              <a16:creationId xmlns:a16="http://schemas.microsoft.com/office/drawing/2014/main" id="{BC838D51-BB31-4A58-9A86-34D9AB01EBFC}"/>
            </a:ext>
          </a:extLst>
        </xdr:cNvPr>
        <xdr:cNvSpPr/>
      </xdr:nvSpPr>
      <xdr:spPr bwMode="auto">
        <a:xfrm>
          <a:off x="15135225" y="46151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21</xdr:row>
      <xdr:rowOff>119380</xdr:rowOff>
    </xdr:from>
    <xdr:to>
      <xdr:col>21</xdr:col>
      <xdr:colOff>63500</xdr:colOff>
      <xdr:row>22</xdr:row>
      <xdr:rowOff>0</xdr:rowOff>
    </xdr:to>
    <xdr:sp macro="" textlink="">
      <xdr:nvSpPr>
        <xdr:cNvPr id="1307" name="nuNumber: 93" hidden="1">
          <a:extLst>
            <a:ext uri="{FF2B5EF4-FFF2-40B4-BE49-F238E27FC236}">
              <a16:creationId xmlns:a16="http://schemas.microsoft.com/office/drawing/2014/main" id="{DD7B5221-F2B1-4858-A354-88F8AA23C0C2}"/>
            </a:ext>
          </a:extLst>
        </xdr:cNvPr>
        <xdr:cNvSpPr/>
      </xdr:nvSpPr>
      <xdr:spPr bwMode="auto">
        <a:xfrm>
          <a:off x="15849600" y="461518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79</xdr:row>
      <xdr:rowOff>119380</xdr:rowOff>
    </xdr:from>
    <xdr:to>
      <xdr:col>8</xdr:col>
      <xdr:colOff>63500</xdr:colOff>
      <xdr:row>80</xdr:row>
      <xdr:rowOff>0</xdr:rowOff>
    </xdr:to>
    <xdr:sp macro="" textlink="">
      <xdr:nvSpPr>
        <xdr:cNvPr id="1308" name="nuNumber: 384" hidden="1">
          <a:extLst>
            <a:ext uri="{FF2B5EF4-FFF2-40B4-BE49-F238E27FC236}">
              <a16:creationId xmlns:a16="http://schemas.microsoft.com/office/drawing/2014/main" id="{F8BEAFFD-AD35-407F-81E0-DC1DB73245AC}"/>
            </a:ext>
          </a:extLst>
        </xdr:cNvPr>
        <xdr:cNvSpPr/>
      </xdr:nvSpPr>
      <xdr:spPr bwMode="auto">
        <a:xfrm>
          <a:off x="5562600" y="168262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79</xdr:row>
      <xdr:rowOff>119380</xdr:rowOff>
    </xdr:from>
    <xdr:to>
      <xdr:col>9</xdr:col>
      <xdr:colOff>63500</xdr:colOff>
      <xdr:row>80</xdr:row>
      <xdr:rowOff>0</xdr:rowOff>
    </xdr:to>
    <xdr:sp macro="" textlink="">
      <xdr:nvSpPr>
        <xdr:cNvPr id="1309" name="nuNumber: 385" hidden="1">
          <a:extLst>
            <a:ext uri="{FF2B5EF4-FFF2-40B4-BE49-F238E27FC236}">
              <a16:creationId xmlns:a16="http://schemas.microsoft.com/office/drawing/2014/main" id="{115F383A-DBAE-43C1-81DA-3BFA5BFA8180}"/>
            </a:ext>
          </a:extLst>
        </xdr:cNvPr>
        <xdr:cNvSpPr/>
      </xdr:nvSpPr>
      <xdr:spPr bwMode="auto">
        <a:xfrm>
          <a:off x="6467475" y="168262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79</xdr:row>
      <xdr:rowOff>119380</xdr:rowOff>
    </xdr:from>
    <xdr:to>
      <xdr:col>9</xdr:col>
      <xdr:colOff>63500</xdr:colOff>
      <xdr:row>80</xdr:row>
      <xdr:rowOff>0</xdr:rowOff>
    </xdr:to>
    <xdr:sp macro="" textlink="">
      <xdr:nvSpPr>
        <xdr:cNvPr id="1310" name="nuNumber: 386" hidden="1">
          <a:extLst>
            <a:ext uri="{FF2B5EF4-FFF2-40B4-BE49-F238E27FC236}">
              <a16:creationId xmlns:a16="http://schemas.microsoft.com/office/drawing/2014/main" id="{BE1B41B2-C65D-4EB2-A8F2-FC285AE02F88}"/>
            </a:ext>
          </a:extLst>
        </xdr:cNvPr>
        <xdr:cNvSpPr/>
      </xdr:nvSpPr>
      <xdr:spPr bwMode="auto">
        <a:xfrm>
          <a:off x="6467475" y="168262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79</xdr:row>
      <xdr:rowOff>119380</xdr:rowOff>
    </xdr:from>
    <xdr:to>
      <xdr:col>10</xdr:col>
      <xdr:colOff>63500</xdr:colOff>
      <xdr:row>80</xdr:row>
      <xdr:rowOff>0</xdr:rowOff>
    </xdr:to>
    <xdr:sp macro="" textlink="">
      <xdr:nvSpPr>
        <xdr:cNvPr id="1311" name="nuNumber: 387" hidden="1">
          <a:extLst>
            <a:ext uri="{FF2B5EF4-FFF2-40B4-BE49-F238E27FC236}">
              <a16:creationId xmlns:a16="http://schemas.microsoft.com/office/drawing/2014/main" id="{FDD0E085-35BB-4994-94A3-499FAA60B997}"/>
            </a:ext>
          </a:extLst>
        </xdr:cNvPr>
        <xdr:cNvSpPr/>
      </xdr:nvSpPr>
      <xdr:spPr bwMode="auto">
        <a:xfrm>
          <a:off x="7315200" y="168262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79</xdr:row>
      <xdr:rowOff>119380</xdr:rowOff>
    </xdr:from>
    <xdr:to>
      <xdr:col>11</xdr:col>
      <xdr:colOff>63500</xdr:colOff>
      <xdr:row>80</xdr:row>
      <xdr:rowOff>0</xdr:rowOff>
    </xdr:to>
    <xdr:sp macro="" textlink="">
      <xdr:nvSpPr>
        <xdr:cNvPr id="1312" name="nuNumber: 388" hidden="1">
          <a:extLst>
            <a:ext uri="{FF2B5EF4-FFF2-40B4-BE49-F238E27FC236}">
              <a16:creationId xmlns:a16="http://schemas.microsoft.com/office/drawing/2014/main" id="{66BADD0C-3CD9-4FE5-A226-91C523103E57}"/>
            </a:ext>
          </a:extLst>
        </xdr:cNvPr>
        <xdr:cNvSpPr/>
      </xdr:nvSpPr>
      <xdr:spPr bwMode="auto">
        <a:xfrm>
          <a:off x="8105775" y="168262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79</xdr:row>
      <xdr:rowOff>119380</xdr:rowOff>
    </xdr:from>
    <xdr:to>
      <xdr:col>12</xdr:col>
      <xdr:colOff>63500</xdr:colOff>
      <xdr:row>80</xdr:row>
      <xdr:rowOff>0</xdr:rowOff>
    </xdr:to>
    <xdr:sp macro="" textlink="">
      <xdr:nvSpPr>
        <xdr:cNvPr id="1313" name="nuNumber: 389" hidden="1">
          <a:extLst>
            <a:ext uri="{FF2B5EF4-FFF2-40B4-BE49-F238E27FC236}">
              <a16:creationId xmlns:a16="http://schemas.microsoft.com/office/drawing/2014/main" id="{BEE9381F-324D-4438-868E-A59A7D66FB50}"/>
            </a:ext>
          </a:extLst>
        </xdr:cNvPr>
        <xdr:cNvSpPr/>
      </xdr:nvSpPr>
      <xdr:spPr bwMode="auto">
        <a:xfrm>
          <a:off x="8972550" y="168262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79</xdr:row>
      <xdr:rowOff>119380</xdr:rowOff>
    </xdr:from>
    <xdr:to>
      <xdr:col>13</xdr:col>
      <xdr:colOff>63500</xdr:colOff>
      <xdr:row>80</xdr:row>
      <xdr:rowOff>0</xdr:rowOff>
    </xdr:to>
    <xdr:sp macro="" textlink="">
      <xdr:nvSpPr>
        <xdr:cNvPr id="1314" name="nuNumber: 390" hidden="1">
          <a:extLst>
            <a:ext uri="{FF2B5EF4-FFF2-40B4-BE49-F238E27FC236}">
              <a16:creationId xmlns:a16="http://schemas.microsoft.com/office/drawing/2014/main" id="{BEEC3C40-0A8C-473B-BD60-ADEF92C76DD6}"/>
            </a:ext>
          </a:extLst>
        </xdr:cNvPr>
        <xdr:cNvSpPr/>
      </xdr:nvSpPr>
      <xdr:spPr bwMode="auto">
        <a:xfrm>
          <a:off x="9753600" y="168262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79</xdr:row>
      <xdr:rowOff>119380</xdr:rowOff>
    </xdr:from>
    <xdr:to>
      <xdr:col>14</xdr:col>
      <xdr:colOff>63500</xdr:colOff>
      <xdr:row>80</xdr:row>
      <xdr:rowOff>0</xdr:rowOff>
    </xdr:to>
    <xdr:sp macro="" textlink="">
      <xdr:nvSpPr>
        <xdr:cNvPr id="1315" name="nuNumber: 391" hidden="1">
          <a:extLst>
            <a:ext uri="{FF2B5EF4-FFF2-40B4-BE49-F238E27FC236}">
              <a16:creationId xmlns:a16="http://schemas.microsoft.com/office/drawing/2014/main" id="{28AAB3ED-675F-4C64-A49C-73F00D29489E}"/>
            </a:ext>
          </a:extLst>
        </xdr:cNvPr>
        <xdr:cNvSpPr/>
      </xdr:nvSpPr>
      <xdr:spPr bwMode="auto">
        <a:xfrm>
          <a:off x="10515600" y="168262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79</xdr:row>
      <xdr:rowOff>119380</xdr:rowOff>
    </xdr:from>
    <xdr:to>
      <xdr:col>15</xdr:col>
      <xdr:colOff>63500</xdr:colOff>
      <xdr:row>80</xdr:row>
      <xdr:rowOff>0</xdr:rowOff>
    </xdr:to>
    <xdr:sp macro="" textlink="">
      <xdr:nvSpPr>
        <xdr:cNvPr id="1316" name="nuNumber: 392" hidden="1">
          <a:extLst>
            <a:ext uri="{FF2B5EF4-FFF2-40B4-BE49-F238E27FC236}">
              <a16:creationId xmlns:a16="http://schemas.microsoft.com/office/drawing/2014/main" id="{B44F32CC-B046-4AB1-9E37-302EFB322863}"/>
            </a:ext>
          </a:extLst>
        </xdr:cNvPr>
        <xdr:cNvSpPr/>
      </xdr:nvSpPr>
      <xdr:spPr bwMode="auto">
        <a:xfrm>
          <a:off x="11325225" y="168262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79</xdr:row>
      <xdr:rowOff>119380</xdr:rowOff>
    </xdr:from>
    <xdr:to>
      <xdr:col>16</xdr:col>
      <xdr:colOff>63500</xdr:colOff>
      <xdr:row>80</xdr:row>
      <xdr:rowOff>0</xdr:rowOff>
    </xdr:to>
    <xdr:sp macro="" textlink="">
      <xdr:nvSpPr>
        <xdr:cNvPr id="1317" name="nuNumber: 393" hidden="1">
          <a:extLst>
            <a:ext uri="{FF2B5EF4-FFF2-40B4-BE49-F238E27FC236}">
              <a16:creationId xmlns:a16="http://schemas.microsoft.com/office/drawing/2014/main" id="{2C0584E6-6EE3-475C-92E5-5AF75F0BE52A}"/>
            </a:ext>
          </a:extLst>
        </xdr:cNvPr>
        <xdr:cNvSpPr/>
      </xdr:nvSpPr>
      <xdr:spPr bwMode="auto">
        <a:xfrm>
          <a:off x="12106275" y="168262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79</xdr:row>
      <xdr:rowOff>119380</xdr:rowOff>
    </xdr:from>
    <xdr:to>
      <xdr:col>17</xdr:col>
      <xdr:colOff>63500</xdr:colOff>
      <xdr:row>80</xdr:row>
      <xdr:rowOff>0</xdr:rowOff>
    </xdr:to>
    <xdr:sp macro="" textlink="">
      <xdr:nvSpPr>
        <xdr:cNvPr id="1318" name="nuNumber: 394" hidden="1">
          <a:extLst>
            <a:ext uri="{FF2B5EF4-FFF2-40B4-BE49-F238E27FC236}">
              <a16:creationId xmlns:a16="http://schemas.microsoft.com/office/drawing/2014/main" id="{49A5C236-216F-46A5-ABC1-A4DB7A9C3FCC}"/>
            </a:ext>
          </a:extLst>
        </xdr:cNvPr>
        <xdr:cNvSpPr/>
      </xdr:nvSpPr>
      <xdr:spPr bwMode="auto">
        <a:xfrm>
          <a:off x="12887325" y="168262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79</xdr:row>
      <xdr:rowOff>119380</xdr:rowOff>
    </xdr:from>
    <xdr:to>
      <xdr:col>18</xdr:col>
      <xdr:colOff>63499</xdr:colOff>
      <xdr:row>80</xdr:row>
      <xdr:rowOff>0</xdr:rowOff>
    </xdr:to>
    <xdr:sp macro="" textlink="">
      <xdr:nvSpPr>
        <xdr:cNvPr id="1319" name="nuNumber: 395" hidden="1">
          <a:extLst>
            <a:ext uri="{FF2B5EF4-FFF2-40B4-BE49-F238E27FC236}">
              <a16:creationId xmlns:a16="http://schemas.microsoft.com/office/drawing/2014/main" id="{2B6FCD17-2D25-40DC-BAE8-CD38445694F8}"/>
            </a:ext>
          </a:extLst>
        </xdr:cNvPr>
        <xdr:cNvSpPr/>
      </xdr:nvSpPr>
      <xdr:spPr bwMode="auto">
        <a:xfrm>
          <a:off x="13624559" y="16826230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79</xdr:row>
      <xdr:rowOff>119380</xdr:rowOff>
    </xdr:from>
    <xdr:to>
      <xdr:col>19</xdr:col>
      <xdr:colOff>63500</xdr:colOff>
      <xdr:row>80</xdr:row>
      <xdr:rowOff>0</xdr:rowOff>
    </xdr:to>
    <xdr:sp macro="" textlink="">
      <xdr:nvSpPr>
        <xdr:cNvPr id="1320" name="nuNumber: 396" hidden="1">
          <a:extLst>
            <a:ext uri="{FF2B5EF4-FFF2-40B4-BE49-F238E27FC236}">
              <a16:creationId xmlns:a16="http://schemas.microsoft.com/office/drawing/2014/main" id="{57666B81-9319-430B-BC05-FED6263F79F8}"/>
            </a:ext>
          </a:extLst>
        </xdr:cNvPr>
        <xdr:cNvSpPr/>
      </xdr:nvSpPr>
      <xdr:spPr bwMode="auto">
        <a:xfrm>
          <a:off x="14382750" y="168262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79</xdr:row>
      <xdr:rowOff>119380</xdr:rowOff>
    </xdr:from>
    <xdr:to>
      <xdr:col>20</xdr:col>
      <xdr:colOff>63500</xdr:colOff>
      <xdr:row>80</xdr:row>
      <xdr:rowOff>0</xdr:rowOff>
    </xdr:to>
    <xdr:sp macro="" textlink="">
      <xdr:nvSpPr>
        <xdr:cNvPr id="1321" name="nuNumber: 397" hidden="1">
          <a:extLst>
            <a:ext uri="{FF2B5EF4-FFF2-40B4-BE49-F238E27FC236}">
              <a16:creationId xmlns:a16="http://schemas.microsoft.com/office/drawing/2014/main" id="{FE0767B6-2355-4F54-B913-F905DCC998FC}"/>
            </a:ext>
          </a:extLst>
        </xdr:cNvPr>
        <xdr:cNvSpPr/>
      </xdr:nvSpPr>
      <xdr:spPr bwMode="auto">
        <a:xfrm>
          <a:off x="15135225" y="168262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79</xdr:row>
      <xdr:rowOff>119380</xdr:rowOff>
    </xdr:from>
    <xdr:to>
      <xdr:col>21</xdr:col>
      <xdr:colOff>63500</xdr:colOff>
      <xdr:row>80</xdr:row>
      <xdr:rowOff>0</xdr:rowOff>
    </xdr:to>
    <xdr:sp macro="" textlink="">
      <xdr:nvSpPr>
        <xdr:cNvPr id="1322" name="nuNumber: 398" hidden="1">
          <a:extLst>
            <a:ext uri="{FF2B5EF4-FFF2-40B4-BE49-F238E27FC236}">
              <a16:creationId xmlns:a16="http://schemas.microsoft.com/office/drawing/2014/main" id="{5740F596-1A4F-4AD1-86F2-6BB3530DD00C}"/>
            </a:ext>
          </a:extLst>
        </xdr:cNvPr>
        <xdr:cNvSpPr/>
      </xdr:nvSpPr>
      <xdr:spPr bwMode="auto">
        <a:xfrm>
          <a:off x="15849600" y="16826230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139</xdr:row>
      <xdr:rowOff>119380</xdr:rowOff>
    </xdr:from>
    <xdr:to>
      <xdr:col>8</xdr:col>
      <xdr:colOff>63500</xdr:colOff>
      <xdr:row>140</xdr:row>
      <xdr:rowOff>0</xdr:rowOff>
    </xdr:to>
    <xdr:sp macro="" textlink="">
      <xdr:nvSpPr>
        <xdr:cNvPr id="1323" name="nuNumber: 689" hidden="1">
          <a:extLst>
            <a:ext uri="{FF2B5EF4-FFF2-40B4-BE49-F238E27FC236}">
              <a16:creationId xmlns:a16="http://schemas.microsoft.com/office/drawing/2014/main" id="{AE91CFD5-59D2-4B22-B0DE-87669EB01646}"/>
            </a:ext>
          </a:extLst>
        </xdr:cNvPr>
        <xdr:cNvSpPr/>
      </xdr:nvSpPr>
      <xdr:spPr bwMode="auto">
        <a:xfrm>
          <a:off x="5562600" y="2944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139</xdr:row>
      <xdr:rowOff>119380</xdr:rowOff>
    </xdr:from>
    <xdr:to>
      <xdr:col>9</xdr:col>
      <xdr:colOff>63500</xdr:colOff>
      <xdr:row>140</xdr:row>
      <xdr:rowOff>0</xdr:rowOff>
    </xdr:to>
    <xdr:sp macro="" textlink="">
      <xdr:nvSpPr>
        <xdr:cNvPr id="1324" name="nuNumber: 690" hidden="1">
          <a:extLst>
            <a:ext uri="{FF2B5EF4-FFF2-40B4-BE49-F238E27FC236}">
              <a16:creationId xmlns:a16="http://schemas.microsoft.com/office/drawing/2014/main" id="{68636AEC-E841-4218-9889-95CC9D6A7C11}"/>
            </a:ext>
          </a:extLst>
        </xdr:cNvPr>
        <xdr:cNvSpPr/>
      </xdr:nvSpPr>
      <xdr:spPr bwMode="auto">
        <a:xfrm>
          <a:off x="6467475" y="2944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139</xdr:row>
      <xdr:rowOff>119380</xdr:rowOff>
    </xdr:from>
    <xdr:to>
      <xdr:col>9</xdr:col>
      <xdr:colOff>63500</xdr:colOff>
      <xdr:row>140</xdr:row>
      <xdr:rowOff>0</xdr:rowOff>
    </xdr:to>
    <xdr:sp macro="" textlink="">
      <xdr:nvSpPr>
        <xdr:cNvPr id="1325" name="nuNumber: 691" hidden="1">
          <a:extLst>
            <a:ext uri="{FF2B5EF4-FFF2-40B4-BE49-F238E27FC236}">
              <a16:creationId xmlns:a16="http://schemas.microsoft.com/office/drawing/2014/main" id="{9D9A1871-DF56-41FB-9F40-5C21C5D5FE8A}"/>
            </a:ext>
          </a:extLst>
        </xdr:cNvPr>
        <xdr:cNvSpPr/>
      </xdr:nvSpPr>
      <xdr:spPr bwMode="auto">
        <a:xfrm>
          <a:off x="6467475" y="2944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139</xdr:row>
      <xdr:rowOff>119380</xdr:rowOff>
    </xdr:from>
    <xdr:to>
      <xdr:col>10</xdr:col>
      <xdr:colOff>63500</xdr:colOff>
      <xdr:row>140</xdr:row>
      <xdr:rowOff>0</xdr:rowOff>
    </xdr:to>
    <xdr:sp macro="" textlink="">
      <xdr:nvSpPr>
        <xdr:cNvPr id="1326" name="nuNumber: 692" hidden="1">
          <a:extLst>
            <a:ext uri="{FF2B5EF4-FFF2-40B4-BE49-F238E27FC236}">
              <a16:creationId xmlns:a16="http://schemas.microsoft.com/office/drawing/2014/main" id="{843EFF68-F42E-4057-8CBC-3DEE0133EFD5}"/>
            </a:ext>
          </a:extLst>
        </xdr:cNvPr>
        <xdr:cNvSpPr/>
      </xdr:nvSpPr>
      <xdr:spPr bwMode="auto">
        <a:xfrm>
          <a:off x="7315200" y="2944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139</xdr:row>
      <xdr:rowOff>119380</xdr:rowOff>
    </xdr:from>
    <xdr:to>
      <xdr:col>11</xdr:col>
      <xdr:colOff>63500</xdr:colOff>
      <xdr:row>140</xdr:row>
      <xdr:rowOff>0</xdr:rowOff>
    </xdr:to>
    <xdr:sp macro="" textlink="">
      <xdr:nvSpPr>
        <xdr:cNvPr id="1327" name="nuNumber: 693" hidden="1">
          <a:extLst>
            <a:ext uri="{FF2B5EF4-FFF2-40B4-BE49-F238E27FC236}">
              <a16:creationId xmlns:a16="http://schemas.microsoft.com/office/drawing/2014/main" id="{776996BD-E17F-4F9C-901F-F6CAEA0D8836}"/>
            </a:ext>
          </a:extLst>
        </xdr:cNvPr>
        <xdr:cNvSpPr/>
      </xdr:nvSpPr>
      <xdr:spPr bwMode="auto">
        <a:xfrm>
          <a:off x="8105775" y="2944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139</xdr:row>
      <xdr:rowOff>119380</xdr:rowOff>
    </xdr:from>
    <xdr:to>
      <xdr:col>12</xdr:col>
      <xdr:colOff>63500</xdr:colOff>
      <xdr:row>140</xdr:row>
      <xdr:rowOff>0</xdr:rowOff>
    </xdr:to>
    <xdr:sp macro="" textlink="">
      <xdr:nvSpPr>
        <xdr:cNvPr id="1328" name="nuNumber: 694" hidden="1">
          <a:extLst>
            <a:ext uri="{FF2B5EF4-FFF2-40B4-BE49-F238E27FC236}">
              <a16:creationId xmlns:a16="http://schemas.microsoft.com/office/drawing/2014/main" id="{F073285F-D839-4674-BFFE-755D66B0E13A}"/>
            </a:ext>
          </a:extLst>
        </xdr:cNvPr>
        <xdr:cNvSpPr/>
      </xdr:nvSpPr>
      <xdr:spPr bwMode="auto">
        <a:xfrm>
          <a:off x="8972550" y="2944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139</xdr:row>
      <xdr:rowOff>119380</xdr:rowOff>
    </xdr:from>
    <xdr:to>
      <xdr:col>13</xdr:col>
      <xdr:colOff>63500</xdr:colOff>
      <xdr:row>140</xdr:row>
      <xdr:rowOff>0</xdr:rowOff>
    </xdr:to>
    <xdr:sp macro="" textlink="">
      <xdr:nvSpPr>
        <xdr:cNvPr id="1329" name="nuNumber: 695" hidden="1">
          <a:extLst>
            <a:ext uri="{FF2B5EF4-FFF2-40B4-BE49-F238E27FC236}">
              <a16:creationId xmlns:a16="http://schemas.microsoft.com/office/drawing/2014/main" id="{6BB408CE-187A-4124-AD9F-56A8172DA47F}"/>
            </a:ext>
          </a:extLst>
        </xdr:cNvPr>
        <xdr:cNvSpPr/>
      </xdr:nvSpPr>
      <xdr:spPr bwMode="auto">
        <a:xfrm>
          <a:off x="9753600" y="2944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139</xdr:row>
      <xdr:rowOff>119380</xdr:rowOff>
    </xdr:from>
    <xdr:to>
      <xdr:col>14</xdr:col>
      <xdr:colOff>63500</xdr:colOff>
      <xdr:row>140</xdr:row>
      <xdr:rowOff>0</xdr:rowOff>
    </xdr:to>
    <xdr:sp macro="" textlink="">
      <xdr:nvSpPr>
        <xdr:cNvPr id="1330" name="nuNumber: 696" hidden="1">
          <a:extLst>
            <a:ext uri="{FF2B5EF4-FFF2-40B4-BE49-F238E27FC236}">
              <a16:creationId xmlns:a16="http://schemas.microsoft.com/office/drawing/2014/main" id="{FF919356-69E1-4E20-9C62-3F9237F0874F}"/>
            </a:ext>
          </a:extLst>
        </xdr:cNvPr>
        <xdr:cNvSpPr/>
      </xdr:nvSpPr>
      <xdr:spPr bwMode="auto">
        <a:xfrm>
          <a:off x="10515600" y="2944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139</xdr:row>
      <xdr:rowOff>119380</xdr:rowOff>
    </xdr:from>
    <xdr:to>
      <xdr:col>15</xdr:col>
      <xdr:colOff>63500</xdr:colOff>
      <xdr:row>140</xdr:row>
      <xdr:rowOff>0</xdr:rowOff>
    </xdr:to>
    <xdr:sp macro="" textlink="">
      <xdr:nvSpPr>
        <xdr:cNvPr id="1331" name="nuNumber: 697" hidden="1">
          <a:extLst>
            <a:ext uri="{FF2B5EF4-FFF2-40B4-BE49-F238E27FC236}">
              <a16:creationId xmlns:a16="http://schemas.microsoft.com/office/drawing/2014/main" id="{F4E09CB4-93A8-4A0D-82A6-FB36C2A526C5}"/>
            </a:ext>
          </a:extLst>
        </xdr:cNvPr>
        <xdr:cNvSpPr/>
      </xdr:nvSpPr>
      <xdr:spPr bwMode="auto">
        <a:xfrm>
          <a:off x="11325225" y="2944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139</xdr:row>
      <xdr:rowOff>119380</xdr:rowOff>
    </xdr:from>
    <xdr:to>
      <xdr:col>16</xdr:col>
      <xdr:colOff>63500</xdr:colOff>
      <xdr:row>140</xdr:row>
      <xdr:rowOff>0</xdr:rowOff>
    </xdr:to>
    <xdr:sp macro="" textlink="">
      <xdr:nvSpPr>
        <xdr:cNvPr id="1332" name="nuNumber: 698" hidden="1">
          <a:extLst>
            <a:ext uri="{FF2B5EF4-FFF2-40B4-BE49-F238E27FC236}">
              <a16:creationId xmlns:a16="http://schemas.microsoft.com/office/drawing/2014/main" id="{F165CC21-EDE0-4237-B516-592534C65853}"/>
            </a:ext>
          </a:extLst>
        </xdr:cNvPr>
        <xdr:cNvSpPr/>
      </xdr:nvSpPr>
      <xdr:spPr bwMode="auto">
        <a:xfrm>
          <a:off x="12106275" y="2944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139</xdr:row>
      <xdr:rowOff>119380</xdr:rowOff>
    </xdr:from>
    <xdr:to>
      <xdr:col>17</xdr:col>
      <xdr:colOff>63500</xdr:colOff>
      <xdr:row>140</xdr:row>
      <xdr:rowOff>0</xdr:rowOff>
    </xdr:to>
    <xdr:sp macro="" textlink="">
      <xdr:nvSpPr>
        <xdr:cNvPr id="1333" name="nuNumber: 699" hidden="1">
          <a:extLst>
            <a:ext uri="{FF2B5EF4-FFF2-40B4-BE49-F238E27FC236}">
              <a16:creationId xmlns:a16="http://schemas.microsoft.com/office/drawing/2014/main" id="{72C899A5-FEA2-4710-BE37-286600667173}"/>
            </a:ext>
          </a:extLst>
        </xdr:cNvPr>
        <xdr:cNvSpPr/>
      </xdr:nvSpPr>
      <xdr:spPr bwMode="auto">
        <a:xfrm>
          <a:off x="12887325" y="2944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139</xdr:row>
      <xdr:rowOff>119380</xdr:rowOff>
    </xdr:from>
    <xdr:to>
      <xdr:col>18</xdr:col>
      <xdr:colOff>63499</xdr:colOff>
      <xdr:row>140</xdr:row>
      <xdr:rowOff>0</xdr:rowOff>
    </xdr:to>
    <xdr:sp macro="" textlink="">
      <xdr:nvSpPr>
        <xdr:cNvPr id="1334" name="nuNumber: 700" hidden="1">
          <a:extLst>
            <a:ext uri="{FF2B5EF4-FFF2-40B4-BE49-F238E27FC236}">
              <a16:creationId xmlns:a16="http://schemas.microsoft.com/office/drawing/2014/main" id="{0E1E1D4B-FAF3-44EB-9880-F3FDEA416D6F}"/>
            </a:ext>
          </a:extLst>
        </xdr:cNvPr>
        <xdr:cNvSpPr/>
      </xdr:nvSpPr>
      <xdr:spPr bwMode="auto">
        <a:xfrm>
          <a:off x="13624559" y="29446855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139</xdr:row>
      <xdr:rowOff>119380</xdr:rowOff>
    </xdr:from>
    <xdr:to>
      <xdr:col>19</xdr:col>
      <xdr:colOff>63500</xdr:colOff>
      <xdr:row>140</xdr:row>
      <xdr:rowOff>0</xdr:rowOff>
    </xdr:to>
    <xdr:sp macro="" textlink="">
      <xdr:nvSpPr>
        <xdr:cNvPr id="1335" name="nuNumber: 701" hidden="1">
          <a:extLst>
            <a:ext uri="{FF2B5EF4-FFF2-40B4-BE49-F238E27FC236}">
              <a16:creationId xmlns:a16="http://schemas.microsoft.com/office/drawing/2014/main" id="{B03C7F13-6310-4656-804D-175787E10FA1}"/>
            </a:ext>
          </a:extLst>
        </xdr:cNvPr>
        <xdr:cNvSpPr/>
      </xdr:nvSpPr>
      <xdr:spPr bwMode="auto">
        <a:xfrm>
          <a:off x="14382750" y="2944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139</xdr:row>
      <xdr:rowOff>119380</xdr:rowOff>
    </xdr:from>
    <xdr:to>
      <xdr:col>20</xdr:col>
      <xdr:colOff>63500</xdr:colOff>
      <xdr:row>140</xdr:row>
      <xdr:rowOff>0</xdr:rowOff>
    </xdr:to>
    <xdr:sp macro="" textlink="">
      <xdr:nvSpPr>
        <xdr:cNvPr id="1336" name="nuNumber: 702" hidden="1">
          <a:extLst>
            <a:ext uri="{FF2B5EF4-FFF2-40B4-BE49-F238E27FC236}">
              <a16:creationId xmlns:a16="http://schemas.microsoft.com/office/drawing/2014/main" id="{0A116C5B-25E3-4C67-BB15-FA4B6BB084E2}"/>
            </a:ext>
          </a:extLst>
        </xdr:cNvPr>
        <xdr:cNvSpPr/>
      </xdr:nvSpPr>
      <xdr:spPr bwMode="auto">
        <a:xfrm>
          <a:off x="15135225" y="2944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139</xdr:row>
      <xdr:rowOff>119380</xdr:rowOff>
    </xdr:from>
    <xdr:to>
      <xdr:col>21</xdr:col>
      <xdr:colOff>63500</xdr:colOff>
      <xdr:row>140</xdr:row>
      <xdr:rowOff>0</xdr:rowOff>
    </xdr:to>
    <xdr:sp macro="" textlink="">
      <xdr:nvSpPr>
        <xdr:cNvPr id="1337" name="nuNumber: 703" hidden="1">
          <a:extLst>
            <a:ext uri="{FF2B5EF4-FFF2-40B4-BE49-F238E27FC236}">
              <a16:creationId xmlns:a16="http://schemas.microsoft.com/office/drawing/2014/main" id="{87DB6DE8-172C-4322-9F5F-D4A4A3956C80}"/>
            </a:ext>
          </a:extLst>
        </xdr:cNvPr>
        <xdr:cNvSpPr/>
      </xdr:nvSpPr>
      <xdr:spPr bwMode="auto">
        <a:xfrm>
          <a:off x="15849600" y="29446855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109</xdr:row>
      <xdr:rowOff>119381</xdr:rowOff>
    </xdr:from>
    <xdr:to>
      <xdr:col>7</xdr:col>
      <xdr:colOff>63500</xdr:colOff>
      <xdr:row>110</xdr:row>
      <xdr:rowOff>1</xdr:rowOff>
    </xdr:to>
    <xdr:sp macro="" textlink="">
      <xdr:nvSpPr>
        <xdr:cNvPr id="1338" name="nuNumber: 600" hidden="1">
          <a:extLst>
            <a:ext uri="{FF2B5EF4-FFF2-40B4-BE49-F238E27FC236}">
              <a16:creationId xmlns:a16="http://schemas.microsoft.com/office/drawing/2014/main" id="{C66BFADD-B2E4-4CFE-B31E-B337E44A43B7}"/>
            </a:ext>
          </a:extLst>
        </xdr:cNvPr>
        <xdr:cNvSpPr/>
      </xdr:nvSpPr>
      <xdr:spPr bwMode="auto">
        <a:xfrm>
          <a:off x="4676775" y="231413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109</xdr:row>
      <xdr:rowOff>119381</xdr:rowOff>
    </xdr:from>
    <xdr:to>
      <xdr:col>8</xdr:col>
      <xdr:colOff>63500</xdr:colOff>
      <xdr:row>110</xdr:row>
      <xdr:rowOff>1</xdr:rowOff>
    </xdr:to>
    <xdr:sp macro="" textlink="">
      <xdr:nvSpPr>
        <xdr:cNvPr id="1339" name="nuNumber: 601" hidden="1">
          <a:extLst>
            <a:ext uri="{FF2B5EF4-FFF2-40B4-BE49-F238E27FC236}">
              <a16:creationId xmlns:a16="http://schemas.microsoft.com/office/drawing/2014/main" id="{B35CAEBD-6484-4A57-9C8D-77A038E01631}"/>
            </a:ext>
          </a:extLst>
        </xdr:cNvPr>
        <xdr:cNvSpPr/>
      </xdr:nvSpPr>
      <xdr:spPr bwMode="auto">
        <a:xfrm>
          <a:off x="5562600" y="231413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109</xdr:row>
      <xdr:rowOff>119381</xdr:rowOff>
    </xdr:from>
    <xdr:to>
      <xdr:col>9</xdr:col>
      <xdr:colOff>63500</xdr:colOff>
      <xdr:row>110</xdr:row>
      <xdr:rowOff>1</xdr:rowOff>
    </xdr:to>
    <xdr:sp macro="" textlink="">
      <xdr:nvSpPr>
        <xdr:cNvPr id="1340" name="nuNumber: 602" hidden="1">
          <a:extLst>
            <a:ext uri="{FF2B5EF4-FFF2-40B4-BE49-F238E27FC236}">
              <a16:creationId xmlns:a16="http://schemas.microsoft.com/office/drawing/2014/main" id="{4480B655-8399-4FD4-8A22-8BAD2F9EA079}"/>
            </a:ext>
          </a:extLst>
        </xdr:cNvPr>
        <xdr:cNvSpPr/>
      </xdr:nvSpPr>
      <xdr:spPr bwMode="auto">
        <a:xfrm>
          <a:off x="6467475" y="231413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109</xdr:row>
      <xdr:rowOff>119381</xdr:rowOff>
    </xdr:from>
    <xdr:to>
      <xdr:col>11</xdr:col>
      <xdr:colOff>63500</xdr:colOff>
      <xdr:row>110</xdr:row>
      <xdr:rowOff>1</xdr:rowOff>
    </xdr:to>
    <xdr:sp macro="" textlink="">
      <xdr:nvSpPr>
        <xdr:cNvPr id="1341" name="nuNumber: 603" hidden="1">
          <a:extLst>
            <a:ext uri="{FF2B5EF4-FFF2-40B4-BE49-F238E27FC236}">
              <a16:creationId xmlns:a16="http://schemas.microsoft.com/office/drawing/2014/main" id="{75D322D6-C86E-4C6D-9745-8159D4A19AF8}"/>
            </a:ext>
          </a:extLst>
        </xdr:cNvPr>
        <xdr:cNvSpPr/>
      </xdr:nvSpPr>
      <xdr:spPr bwMode="auto">
        <a:xfrm>
          <a:off x="8105775" y="231413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109</xdr:row>
      <xdr:rowOff>119381</xdr:rowOff>
    </xdr:from>
    <xdr:to>
      <xdr:col>12</xdr:col>
      <xdr:colOff>63500</xdr:colOff>
      <xdr:row>110</xdr:row>
      <xdr:rowOff>1</xdr:rowOff>
    </xdr:to>
    <xdr:sp macro="" textlink="">
      <xdr:nvSpPr>
        <xdr:cNvPr id="1342" name="nuNumber: 604" hidden="1">
          <a:extLst>
            <a:ext uri="{FF2B5EF4-FFF2-40B4-BE49-F238E27FC236}">
              <a16:creationId xmlns:a16="http://schemas.microsoft.com/office/drawing/2014/main" id="{A402C7F7-936E-4B2F-96D9-8A4B702EB0DB}"/>
            </a:ext>
          </a:extLst>
        </xdr:cNvPr>
        <xdr:cNvSpPr/>
      </xdr:nvSpPr>
      <xdr:spPr bwMode="auto">
        <a:xfrm>
          <a:off x="8972550" y="231413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109</xdr:row>
      <xdr:rowOff>119381</xdr:rowOff>
    </xdr:from>
    <xdr:to>
      <xdr:col>13</xdr:col>
      <xdr:colOff>63500</xdr:colOff>
      <xdr:row>110</xdr:row>
      <xdr:rowOff>1</xdr:rowOff>
    </xdr:to>
    <xdr:sp macro="" textlink="">
      <xdr:nvSpPr>
        <xdr:cNvPr id="1343" name="nuNumber: 605" hidden="1">
          <a:extLst>
            <a:ext uri="{FF2B5EF4-FFF2-40B4-BE49-F238E27FC236}">
              <a16:creationId xmlns:a16="http://schemas.microsoft.com/office/drawing/2014/main" id="{17288B47-4F08-4DED-8BD7-5F65A48715A9}"/>
            </a:ext>
          </a:extLst>
        </xdr:cNvPr>
        <xdr:cNvSpPr/>
      </xdr:nvSpPr>
      <xdr:spPr bwMode="auto">
        <a:xfrm>
          <a:off x="9753600" y="231413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109</xdr:row>
      <xdr:rowOff>119381</xdr:rowOff>
    </xdr:from>
    <xdr:to>
      <xdr:col>14</xdr:col>
      <xdr:colOff>63500</xdr:colOff>
      <xdr:row>110</xdr:row>
      <xdr:rowOff>1</xdr:rowOff>
    </xdr:to>
    <xdr:sp macro="" textlink="">
      <xdr:nvSpPr>
        <xdr:cNvPr id="1344" name="nuNumber: 606" hidden="1">
          <a:extLst>
            <a:ext uri="{FF2B5EF4-FFF2-40B4-BE49-F238E27FC236}">
              <a16:creationId xmlns:a16="http://schemas.microsoft.com/office/drawing/2014/main" id="{36860C39-EAE5-4AED-A60F-BBBAE8DC4B72}"/>
            </a:ext>
          </a:extLst>
        </xdr:cNvPr>
        <xdr:cNvSpPr/>
      </xdr:nvSpPr>
      <xdr:spPr bwMode="auto">
        <a:xfrm>
          <a:off x="10515600" y="231413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109</xdr:row>
      <xdr:rowOff>119381</xdr:rowOff>
    </xdr:from>
    <xdr:to>
      <xdr:col>15</xdr:col>
      <xdr:colOff>63500</xdr:colOff>
      <xdr:row>110</xdr:row>
      <xdr:rowOff>1</xdr:rowOff>
    </xdr:to>
    <xdr:sp macro="" textlink="">
      <xdr:nvSpPr>
        <xdr:cNvPr id="1345" name="nuNumber: 607" hidden="1">
          <a:extLst>
            <a:ext uri="{FF2B5EF4-FFF2-40B4-BE49-F238E27FC236}">
              <a16:creationId xmlns:a16="http://schemas.microsoft.com/office/drawing/2014/main" id="{148140C7-F8E9-4FBC-89A9-419BEB46F62C}"/>
            </a:ext>
          </a:extLst>
        </xdr:cNvPr>
        <xdr:cNvSpPr/>
      </xdr:nvSpPr>
      <xdr:spPr bwMode="auto">
        <a:xfrm>
          <a:off x="11325225" y="231413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109</xdr:row>
      <xdr:rowOff>119381</xdr:rowOff>
    </xdr:from>
    <xdr:to>
      <xdr:col>16</xdr:col>
      <xdr:colOff>63500</xdr:colOff>
      <xdr:row>110</xdr:row>
      <xdr:rowOff>1</xdr:rowOff>
    </xdr:to>
    <xdr:sp macro="" textlink="">
      <xdr:nvSpPr>
        <xdr:cNvPr id="1346" name="nuNumber: 608" hidden="1">
          <a:extLst>
            <a:ext uri="{FF2B5EF4-FFF2-40B4-BE49-F238E27FC236}">
              <a16:creationId xmlns:a16="http://schemas.microsoft.com/office/drawing/2014/main" id="{62A4B056-60D3-40DD-9CBB-9585F2184C83}"/>
            </a:ext>
          </a:extLst>
        </xdr:cNvPr>
        <xdr:cNvSpPr/>
      </xdr:nvSpPr>
      <xdr:spPr bwMode="auto">
        <a:xfrm>
          <a:off x="12106275" y="231413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109</xdr:row>
      <xdr:rowOff>119381</xdr:rowOff>
    </xdr:from>
    <xdr:to>
      <xdr:col>17</xdr:col>
      <xdr:colOff>63500</xdr:colOff>
      <xdr:row>110</xdr:row>
      <xdr:rowOff>1</xdr:rowOff>
    </xdr:to>
    <xdr:sp macro="" textlink="">
      <xdr:nvSpPr>
        <xdr:cNvPr id="1347" name="nuNumber: 609" hidden="1">
          <a:extLst>
            <a:ext uri="{FF2B5EF4-FFF2-40B4-BE49-F238E27FC236}">
              <a16:creationId xmlns:a16="http://schemas.microsoft.com/office/drawing/2014/main" id="{E202B56E-496C-45B2-B783-0EA8D216E5F2}"/>
            </a:ext>
          </a:extLst>
        </xdr:cNvPr>
        <xdr:cNvSpPr/>
      </xdr:nvSpPr>
      <xdr:spPr bwMode="auto">
        <a:xfrm>
          <a:off x="12887325" y="231413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109</xdr:row>
      <xdr:rowOff>119381</xdr:rowOff>
    </xdr:from>
    <xdr:to>
      <xdr:col>18</xdr:col>
      <xdr:colOff>63499</xdr:colOff>
      <xdr:row>110</xdr:row>
      <xdr:rowOff>1</xdr:rowOff>
    </xdr:to>
    <xdr:sp macro="" textlink="">
      <xdr:nvSpPr>
        <xdr:cNvPr id="1348" name="nuNumber: 610" hidden="1">
          <a:extLst>
            <a:ext uri="{FF2B5EF4-FFF2-40B4-BE49-F238E27FC236}">
              <a16:creationId xmlns:a16="http://schemas.microsoft.com/office/drawing/2014/main" id="{D560C25C-E763-4B9D-BB3D-5BAD283CA7A8}"/>
            </a:ext>
          </a:extLst>
        </xdr:cNvPr>
        <xdr:cNvSpPr/>
      </xdr:nvSpPr>
      <xdr:spPr bwMode="auto">
        <a:xfrm>
          <a:off x="13624559" y="23141306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109</xdr:row>
      <xdr:rowOff>119381</xdr:rowOff>
    </xdr:from>
    <xdr:to>
      <xdr:col>19</xdr:col>
      <xdr:colOff>63500</xdr:colOff>
      <xdr:row>110</xdr:row>
      <xdr:rowOff>1</xdr:rowOff>
    </xdr:to>
    <xdr:sp macro="" textlink="">
      <xdr:nvSpPr>
        <xdr:cNvPr id="1349" name="nuNumber: 611" hidden="1">
          <a:extLst>
            <a:ext uri="{FF2B5EF4-FFF2-40B4-BE49-F238E27FC236}">
              <a16:creationId xmlns:a16="http://schemas.microsoft.com/office/drawing/2014/main" id="{453868FD-BE72-4376-ACB8-23777CE80C16}"/>
            </a:ext>
          </a:extLst>
        </xdr:cNvPr>
        <xdr:cNvSpPr/>
      </xdr:nvSpPr>
      <xdr:spPr bwMode="auto">
        <a:xfrm>
          <a:off x="14382750" y="231413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109</xdr:row>
      <xdr:rowOff>119381</xdr:rowOff>
    </xdr:from>
    <xdr:to>
      <xdr:col>20</xdr:col>
      <xdr:colOff>63500</xdr:colOff>
      <xdr:row>110</xdr:row>
      <xdr:rowOff>1</xdr:rowOff>
    </xdr:to>
    <xdr:sp macro="" textlink="">
      <xdr:nvSpPr>
        <xdr:cNvPr id="1350" name="nuNumber: 612" hidden="1">
          <a:extLst>
            <a:ext uri="{FF2B5EF4-FFF2-40B4-BE49-F238E27FC236}">
              <a16:creationId xmlns:a16="http://schemas.microsoft.com/office/drawing/2014/main" id="{958A4E95-E48F-495E-8DF7-6B2B5D05FEBD}"/>
            </a:ext>
          </a:extLst>
        </xdr:cNvPr>
        <xdr:cNvSpPr/>
      </xdr:nvSpPr>
      <xdr:spPr bwMode="auto">
        <a:xfrm>
          <a:off x="15135225" y="231413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109</xdr:row>
      <xdr:rowOff>119381</xdr:rowOff>
    </xdr:from>
    <xdr:to>
      <xdr:col>21</xdr:col>
      <xdr:colOff>63500</xdr:colOff>
      <xdr:row>110</xdr:row>
      <xdr:rowOff>1</xdr:rowOff>
    </xdr:to>
    <xdr:sp macro="" textlink="">
      <xdr:nvSpPr>
        <xdr:cNvPr id="1351" name="nuNumber: 613" hidden="1">
          <a:extLst>
            <a:ext uri="{FF2B5EF4-FFF2-40B4-BE49-F238E27FC236}">
              <a16:creationId xmlns:a16="http://schemas.microsoft.com/office/drawing/2014/main" id="{C42C4DFB-BC95-43DD-86F1-3388D55FF16C}"/>
            </a:ext>
          </a:extLst>
        </xdr:cNvPr>
        <xdr:cNvSpPr/>
      </xdr:nvSpPr>
      <xdr:spPr bwMode="auto">
        <a:xfrm>
          <a:off x="15849600" y="2314130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169</xdr:row>
      <xdr:rowOff>119381</xdr:rowOff>
    </xdr:from>
    <xdr:to>
      <xdr:col>7</xdr:col>
      <xdr:colOff>63500</xdr:colOff>
      <xdr:row>170</xdr:row>
      <xdr:rowOff>1</xdr:rowOff>
    </xdr:to>
    <xdr:sp macro="" textlink="">
      <xdr:nvSpPr>
        <xdr:cNvPr id="1352" name="nuNumber: 905" hidden="1">
          <a:extLst>
            <a:ext uri="{FF2B5EF4-FFF2-40B4-BE49-F238E27FC236}">
              <a16:creationId xmlns:a16="http://schemas.microsoft.com/office/drawing/2014/main" id="{407FFECD-0364-49AD-8AF7-442D66D913EE}"/>
            </a:ext>
          </a:extLst>
        </xdr:cNvPr>
        <xdr:cNvSpPr/>
      </xdr:nvSpPr>
      <xdr:spPr bwMode="auto">
        <a:xfrm>
          <a:off x="4676775" y="357714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169</xdr:row>
      <xdr:rowOff>119381</xdr:rowOff>
    </xdr:from>
    <xdr:to>
      <xdr:col>9</xdr:col>
      <xdr:colOff>63500</xdr:colOff>
      <xdr:row>170</xdr:row>
      <xdr:rowOff>1</xdr:rowOff>
    </xdr:to>
    <xdr:sp macro="" textlink="">
      <xdr:nvSpPr>
        <xdr:cNvPr id="1353" name="nuNumber: 906" hidden="1">
          <a:extLst>
            <a:ext uri="{FF2B5EF4-FFF2-40B4-BE49-F238E27FC236}">
              <a16:creationId xmlns:a16="http://schemas.microsoft.com/office/drawing/2014/main" id="{235EF7D1-80A2-4F4E-B41F-D1AE3B27F623}"/>
            </a:ext>
          </a:extLst>
        </xdr:cNvPr>
        <xdr:cNvSpPr/>
      </xdr:nvSpPr>
      <xdr:spPr bwMode="auto">
        <a:xfrm>
          <a:off x="6467475" y="357714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169</xdr:row>
      <xdr:rowOff>119381</xdr:rowOff>
    </xdr:from>
    <xdr:to>
      <xdr:col>11</xdr:col>
      <xdr:colOff>63500</xdr:colOff>
      <xdr:row>170</xdr:row>
      <xdr:rowOff>1</xdr:rowOff>
    </xdr:to>
    <xdr:sp macro="" textlink="">
      <xdr:nvSpPr>
        <xdr:cNvPr id="1354" name="nuNumber: 907" hidden="1">
          <a:extLst>
            <a:ext uri="{FF2B5EF4-FFF2-40B4-BE49-F238E27FC236}">
              <a16:creationId xmlns:a16="http://schemas.microsoft.com/office/drawing/2014/main" id="{BEB914B2-1C20-4F0B-BDD6-9127FE353A73}"/>
            </a:ext>
          </a:extLst>
        </xdr:cNvPr>
        <xdr:cNvSpPr/>
      </xdr:nvSpPr>
      <xdr:spPr bwMode="auto">
        <a:xfrm>
          <a:off x="8105775" y="357714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0</xdr:colOff>
      <xdr:row>169</xdr:row>
      <xdr:rowOff>119381</xdr:rowOff>
    </xdr:from>
    <xdr:to>
      <xdr:col>12</xdr:col>
      <xdr:colOff>63500</xdr:colOff>
      <xdr:row>170</xdr:row>
      <xdr:rowOff>1</xdr:rowOff>
    </xdr:to>
    <xdr:sp macro="" textlink="">
      <xdr:nvSpPr>
        <xdr:cNvPr id="1355" name="nuNumber: 908" hidden="1">
          <a:extLst>
            <a:ext uri="{FF2B5EF4-FFF2-40B4-BE49-F238E27FC236}">
              <a16:creationId xmlns:a16="http://schemas.microsoft.com/office/drawing/2014/main" id="{DEFF06B3-0458-406B-BA66-48EFB037EEA2}"/>
            </a:ext>
          </a:extLst>
        </xdr:cNvPr>
        <xdr:cNvSpPr/>
      </xdr:nvSpPr>
      <xdr:spPr bwMode="auto">
        <a:xfrm>
          <a:off x="8972550" y="357714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0</xdr:colOff>
      <xdr:row>169</xdr:row>
      <xdr:rowOff>119381</xdr:rowOff>
    </xdr:from>
    <xdr:to>
      <xdr:col>13</xdr:col>
      <xdr:colOff>63500</xdr:colOff>
      <xdr:row>170</xdr:row>
      <xdr:rowOff>1</xdr:rowOff>
    </xdr:to>
    <xdr:sp macro="" textlink="">
      <xdr:nvSpPr>
        <xdr:cNvPr id="1356" name="nuNumber: 909" hidden="1">
          <a:extLst>
            <a:ext uri="{FF2B5EF4-FFF2-40B4-BE49-F238E27FC236}">
              <a16:creationId xmlns:a16="http://schemas.microsoft.com/office/drawing/2014/main" id="{A0D26611-BD24-4881-945B-3FAE84A29634}"/>
            </a:ext>
          </a:extLst>
        </xdr:cNvPr>
        <xdr:cNvSpPr/>
      </xdr:nvSpPr>
      <xdr:spPr bwMode="auto">
        <a:xfrm>
          <a:off x="9753600" y="357714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0</xdr:colOff>
      <xdr:row>169</xdr:row>
      <xdr:rowOff>119381</xdr:rowOff>
    </xdr:from>
    <xdr:to>
      <xdr:col>14</xdr:col>
      <xdr:colOff>63500</xdr:colOff>
      <xdr:row>170</xdr:row>
      <xdr:rowOff>1</xdr:rowOff>
    </xdr:to>
    <xdr:sp macro="" textlink="">
      <xdr:nvSpPr>
        <xdr:cNvPr id="1357" name="nuNumber: 910" hidden="1">
          <a:extLst>
            <a:ext uri="{FF2B5EF4-FFF2-40B4-BE49-F238E27FC236}">
              <a16:creationId xmlns:a16="http://schemas.microsoft.com/office/drawing/2014/main" id="{59C086A3-0C37-47C4-90AA-33D446033D55}"/>
            </a:ext>
          </a:extLst>
        </xdr:cNvPr>
        <xdr:cNvSpPr/>
      </xdr:nvSpPr>
      <xdr:spPr bwMode="auto">
        <a:xfrm>
          <a:off x="10515600" y="357714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169</xdr:row>
      <xdr:rowOff>119381</xdr:rowOff>
    </xdr:from>
    <xdr:to>
      <xdr:col>15</xdr:col>
      <xdr:colOff>63500</xdr:colOff>
      <xdr:row>170</xdr:row>
      <xdr:rowOff>1</xdr:rowOff>
    </xdr:to>
    <xdr:sp macro="" textlink="">
      <xdr:nvSpPr>
        <xdr:cNvPr id="1358" name="nuNumber: 911" hidden="1">
          <a:extLst>
            <a:ext uri="{FF2B5EF4-FFF2-40B4-BE49-F238E27FC236}">
              <a16:creationId xmlns:a16="http://schemas.microsoft.com/office/drawing/2014/main" id="{4A9A985C-533A-4143-9C37-3E5410AA395D}"/>
            </a:ext>
          </a:extLst>
        </xdr:cNvPr>
        <xdr:cNvSpPr/>
      </xdr:nvSpPr>
      <xdr:spPr bwMode="auto">
        <a:xfrm>
          <a:off x="11325225" y="357714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169</xdr:row>
      <xdr:rowOff>119381</xdr:rowOff>
    </xdr:from>
    <xdr:to>
      <xdr:col>16</xdr:col>
      <xdr:colOff>63500</xdr:colOff>
      <xdr:row>170</xdr:row>
      <xdr:rowOff>1</xdr:rowOff>
    </xdr:to>
    <xdr:sp macro="" textlink="">
      <xdr:nvSpPr>
        <xdr:cNvPr id="1359" name="nuNumber: 912" hidden="1">
          <a:extLst>
            <a:ext uri="{FF2B5EF4-FFF2-40B4-BE49-F238E27FC236}">
              <a16:creationId xmlns:a16="http://schemas.microsoft.com/office/drawing/2014/main" id="{E6C6642C-DEEF-4AE8-AB92-4020F0CF1D5A}"/>
            </a:ext>
          </a:extLst>
        </xdr:cNvPr>
        <xdr:cNvSpPr/>
      </xdr:nvSpPr>
      <xdr:spPr bwMode="auto">
        <a:xfrm>
          <a:off x="12106275" y="357714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169</xdr:row>
      <xdr:rowOff>119381</xdr:rowOff>
    </xdr:from>
    <xdr:to>
      <xdr:col>17</xdr:col>
      <xdr:colOff>63500</xdr:colOff>
      <xdr:row>170</xdr:row>
      <xdr:rowOff>1</xdr:rowOff>
    </xdr:to>
    <xdr:sp macro="" textlink="">
      <xdr:nvSpPr>
        <xdr:cNvPr id="1360" name="nuNumber: 913" hidden="1">
          <a:extLst>
            <a:ext uri="{FF2B5EF4-FFF2-40B4-BE49-F238E27FC236}">
              <a16:creationId xmlns:a16="http://schemas.microsoft.com/office/drawing/2014/main" id="{A2DE52BD-ABBB-476B-BDC3-BC173EBBA51E}"/>
            </a:ext>
          </a:extLst>
        </xdr:cNvPr>
        <xdr:cNvSpPr/>
      </xdr:nvSpPr>
      <xdr:spPr bwMode="auto">
        <a:xfrm>
          <a:off x="12887325" y="357714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784859</xdr:colOff>
      <xdr:row>169</xdr:row>
      <xdr:rowOff>119381</xdr:rowOff>
    </xdr:from>
    <xdr:to>
      <xdr:col>18</xdr:col>
      <xdr:colOff>63499</xdr:colOff>
      <xdr:row>170</xdr:row>
      <xdr:rowOff>1</xdr:rowOff>
    </xdr:to>
    <xdr:sp macro="" textlink="">
      <xdr:nvSpPr>
        <xdr:cNvPr id="1361" name="nuNumber: 914" hidden="1">
          <a:extLst>
            <a:ext uri="{FF2B5EF4-FFF2-40B4-BE49-F238E27FC236}">
              <a16:creationId xmlns:a16="http://schemas.microsoft.com/office/drawing/2014/main" id="{CA66F579-988C-42B2-AA3D-D1217E8815CD}"/>
            </a:ext>
          </a:extLst>
        </xdr:cNvPr>
        <xdr:cNvSpPr/>
      </xdr:nvSpPr>
      <xdr:spPr bwMode="auto">
        <a:xfrm>
          <a:off x="13624559" y="35771456"/>
          <a:ext cx="5969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0</xdr:colOff>
      <xdr:row>169</xdr:row>
      <xdr:rowOff>119381</xdr:rowOff>
    </xdr:from>
    <xdr:to>
      <xdr:col>19</xdr:col>
      <xdr:colOff>63500</xdr:colOff>
      <xdr:row>170</xdr:row>
      <xdr:rowOff>1</xdr:rowOff>
    </xdr:to>
    <xdr:sp macro="" textlink="">
      <xdr:nvSpPr>
        <xdr:cNvPr id="1362" name="nuNumber: 915" hidden="1">
          <a:extLst>
            <a:ext uri="{FF2B5EF4-FFF2-40B4-BE49-F238E27FC236}">
              <a16:creationId xmlns:a16="http://schemas.microsoft.com/office/drawing/2014/main" id="{9637F124-F93F-4431-AED4-EB931AAD8146}"/>
            </a:ext>
          </a:extLst>
        </xdr:cNvPr>
        <xdr:cNvSpPr/>
      </xdr:nvSpPr>
      <xdr:spPr bwMode="auto">
        <a:xfrm>
          <a:off x="14382750" y="357714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169</xdr:row>
      <xdr:rowOff>119381</xdr:rowOff>
    </xdr:from>
    <xdr:to>
      <xdr:col>20</xdr:col>
      <xdr:colOff>63500</xdr:colOff>
      <xdr:row>170</xdr:row>
      <xdr:rowOff>1</xdr:rowOff>
    </xdr:to>
    <xdr:sp macro="" textlink="">
      <xdr:nvSpPr>
        <xdr:cNvPr id="1363" name="nuNumber: 916" hidden="1">
          <a:extLst>
            <a:ext uri="{FF2B5EF4-FFF2-40B4-BE49-F238E27FC236}">
              <a16:creationId xmlns:a16="http://schemas.microsoft.com/office/drawing/2014/main" id="{CD2929FD-F518-479F-BFD5-C95298262E82}"/>
            </a:ext>
          </a:extLst>
        </xdr:cNvPr>
        <xdr:cNvSpPr/>
      </xdr:nvSpPr>
      <xdr:spPr bwMode="auto">
        <a:xfrm>
          <a:off x="15135225" y="357714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169</xdr:row>
      <xdr:rowOff>119381</xdr:rowOff>
    </xdr:from>
    <xdr:to>
      <xdr:col>21</xdr:col>
      <xdr:colOff>63500</xdr:colOff>
      <xdr:row>170</xdr:row>
      <xdr:rowOff>1</xdr:rowOff>
    </xdr:to>
    <xdr:sp macro="" textlink="">
      <xdr:nvSpPr>
        <xdr:cNvPr id="1364" name="nuNumber: 917" hidden="1">
          <a:extLst>
            <a:ext uri="{FF2B5EF4-FFF2-40B4-BE49-F238E27FC236}">
              <a16:creationId xmlns:a16="http://schemas.microsoft.com/office/drawing/2014/main" id="{0D4E9DD8-BC23-4249-82DD-E98FEABC5220}"/>
            </a:ext>
          </a:extLst>
        </xdr:cNvPr>
        <xdr:cNvSpPr/>
      </xdr:nvSpPr>
      <xdr:spPr bwMode="auto">
        <a:xfrm>
          <a:off x="15849600" y="35771456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265</xdr:row>
      <xdr:rowOff>119379</xdr:rowOff>
    </xdr:from>
    <xdr:to>
      <xdr:col>8</xdr:col>
      <xdr:colOff>63500</xdr:colOff>
      <xdr:row>265</xdr:row>
      <xdr:rowOff>182879</xdr:rowOff>
    </xdr:to>
    <xdr:sp macro="" textlink="">
      <xdr:nvSpPr>
        <xdr:cNvPr id="1365" name="nuNumber: 1027" hidden="1">
          <a:extLst>
            <a:ext uri="{FF2B5EF4-FFF2-40B4-BE49-F238E27FC236}">
              <a16:creationId xmlns:a16="http://schemas.microsoft.com/office/drawing/2014/main" id="{B83B619C-836A-4C70-A9E1-EF3C18E1780A}"/>
            </a:ext>
          </a:extLst>
        </xdr:cNvPr>
        <xdr:cNvSpPr/>
      </xdr:nvSpPr>
      <xdr:spPr bwMode="auto">
        <a:xfrm>
          <a:off x="5562600" y="569264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265</xdr:row>
      <xdr:rowOff>119379</xdr:rowOff>
    </xdr:from>
    <xdr:to>
      <xdr:col>21</xdr:col>
      <xdr:colOff>63500</xdr:colOff>
      <xdr:row>265</xdr:row>
      <xdr:rowOff>182879</xdr:rowOff>
    </xdr:to>
    <xdr:sp macro="" textlink="">
      <xdr:nvSpPr>
        <xdr:cNvPr id="1366" name="nuNumber: 1041" hidden="1">
          <a:extLst>
            <a:ext uri="{FF2B5EF4-FFF2-40B4-BE49-F238E27FC236}">
              <a16:creationId xmlns:a16="http://schemas.microsoft.com/office/drawing/2014/main" id="{C7D5B20E-C50C-4E24-BB02-C17B1A17A326}"/>
            </a:ext>
          </a:extLst>
        </xdr:cNvPr>
        <xdr:cNvSpPr/>
      </xdr:nvSpPr>
      <xdr:spPr bwMode="auto">
        <a:xfrm>
          <a:off x="15849600" y="56926479"/>
          <a:ext cx="63500" cy="6350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528</xdr:row>
      <xdr:rowOff>119382</xdr:rowOff>
    </xdr:from>
    <xdr:to>
      <xdr:col>20</xdr:col>
      <xdr:colOff>63500</xdr:colOff>
      <xdr:row>529</xdr:row>
      <xdr:rowOff>2</xdr:rowOff>
    </xdr:to>
    <xdr:sp macro="" textlink="">
      <xdr:nvSpPr>
        <xdr:cNvPr id="1367" name="nuNumber: 1268" hidden="1">
          <a:extLst>
            <a:ext uri="{FF2B5EF4-FFF2-40B4-BE49-F238E27FC236}">
              <a16:creationId xmlns:a16="http://schemas.microsoft.com/office/drawing/2014/main" id="{E5AE36F1-4889-430F-8632-A676C37ECF71}"/>
            </a:ext>
          </a:extLst>
        </xdr:cNvPr>
        <xdr:cNvSpPr/>
      </xdr:nvSpPr>
      <xdr:spPr bwMode="auto">
        <a:xfrm>
          <a:off x="15135225" y="1128382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0</xdr:colOff>
      <xdr:row>528</xdr:row>
      <xdr:rowOff>119382</xdr:rowOff>
    </xdr:from>
    <xdr:to>
      <xdr:col>21</xdr:col>
      <xdr:colOff>63500</xdr:colOff>
      <xdr:row>529</xdr:row>
      <xdr:rowOff>2</xdr:rowOff>
    </xdr:to>
    <xdr:sp macro="" textlink="">
      <xdr:nvSpPr>
        <xdr:cNvPr id="1368" name="nuNumber: 1269" hidden="1">
          <a:extLst>
            <a:ext uri="{FF2B5EF4-FFF2-40B4-BE49-F238E27FC236}">
              <a16:creationId xmlns:a16="http://schemas.microsoft.com/office/drawing/2014/main" id="{592594A5-3445-4AFB-B428-4E7A151B84DB}"/>
            </a:ext>
          </a:extLst>
        </xdr:cNvPr>
        <xdr:cNvSpPr/>
      </xdr:nvSpPr>
      <xdr:spPr bwMode="auto">
        <a:xfrm>
          <a:off x="15849600" y="112838232"/>
          <a:ext cx="63500" cy="90170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24</xdr:row>
      <xdr:rowOff>104140</xdr:rowOff>
    </xdr:from>
    <xdr:to>
      <xdr:col>5</xdr:col>
      <xdr:colOff>63500</xdr:colOff>
      <xdr:row>25</xdr:row>
      <xdr:rowOff>0</xdr:rowOff>
    </xdr:to>
    <xdr:sp macro="" textlink="">
      <xdr:nvSpPr>
        <xdr:cNvPr id="2" name="nuNumber: 1" hidden="1">
          <a:extLst>
            <a:ext uri="{FF2B5EF4-FFF2-40B4-BE49-F238E27FC236}">
              <a16:creationId xmlns:a16="http://schemas.microsoft.com/office/drawing/2014/main" id="{55105991-0E2D-4FB6-BC2D-5CF399326923}"/>
            </a:ext>
          </a:extLst>
        </xdr:cNvPr>
        <xdr:cNvSpPr/>
      </xdr:nvSpPr>
      <xdr:spPr bwMode="auto">
        <a:xfrm>
          <a:off x="6191250" y="3952240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26</xdr:row>
      <xdr:rowOff>104140</xdr:rowOff>
    </xdr:from>
    <xdr:to>
      <xdr:col>5</xdr:col>
      <xdr:colOff>63500</xdr:colOff>
      <xdr:row>27</xdr:row>
      <xdr:rowOff>0</xdr:rowOff>
    </xdr:to>
    <xdr:sp macro="" textlink="">
      <xdr:nvSpPr>
        <xdr:cNvPr id="3" name="nuNumber: 2" hidden="1">
          <a:extLst>
            <a:ext uri="{FF2B5EF4-FFF2-40B4-BE49-F238E27FC236}">
              <a16:creationId xmlns:a16="http://schemas.microsoft.com/office/drawing/2014/main" id="{51FF0D41-F152-4434-8B9C-252F06308D15}"/>
            </a:ext>
          </a:extLst>
        </xdr:cNvPr>
        <xdr:cNvSpPr/>
      </xdr:nvSpPr>
      <xdr:spPr bwMode="auto">
        <a:xfrm>
          <a:off x="6191250" y="4276090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27</xdr:row>
      <xdr:rowOff>104140</xdr:rowOff>
    </xdr:from>
    <xdr:to>
      <xdr:col>5</xdr:col>
      <xdr:colOff>63500</xdr:colOff>
      <xdr:row>28</xdr:row>
      <xdr:rowOff>0</xdr:rowOff>
    </xdr:to>
    <xdr:sp macro="" textlink="">
      <xdr:nvSpPr>
        <xdr:cNvPr id="4" name="nuNumber: 3" hidden="1">
          <a:extLst>
            <a:ext uri="{FF2B5EF4-FFF2-40B4-BE49-F238E27FC236}">
              <a16:creationId xmlns:a16="http://schemas.microsoft.com/office/drawing/2014/main" id="{232416E9-EABE-4AC9-B609-AB2D40C3C68D}"/>
            </a:ext>
          </a:extLst>
        </xdr:cNvPr>
        <xdr:cNvSpPr/>
      </xdr:nvSpPr>
      <xdr:spPr bwMode="auto">
        <a:xfrm>
          <a:off x="6191250" y="443801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0</xdr:colOff>
      <xdr:row>35</xdr:row>
      <xdr:rowOff>104140</xdr:rowOff>
    </xdr:from>
    <xdr:to>
      <xdr:col>2</xdr:col>
      <xdr:colOff>63500</xdr:colOff>
      <xdr:row>36</xdr:row>
      <xdr:rowOff>0</xdr:rowOff>
    </xdr:to>
    <xdr:sp macro="" textlink="">
      <xdr:nvSpPr>
        <xdr:cNvPr id="5" name="nuNumber: 4" hidden="1">
          <a:extLst>
            <a:ext uri="{FF2B5EF4-FFF2-40B4-BE49-F238E27FC236}">
              <a16:creationId xmlns:a16="http://schemas.microsoft.com/office/drawing/2014/main" id="{D9DBD997-02D4-4A9E-B623-58852765BF9B}"/>
            </a:ext>
          </a:extLst>
        </xdr:cNvPr>
        <xdr:cNvSpPr/>
      </xdr:nvSpPr>
      <xdr:spPr bwMode="auto">
        <a:xfrm>
          <a:off x="2733675" y="582866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0</xdr:colOff>
      <xdr:row>35</xdr:row>
      <xdr:rowOff>104140</xdr:rowOff>
    </xdr:from>
    <xdr:to>
      <xdr:col>3</xdr:col>
      <xdr:colOff>63500</xdr:colOff>
      <xdr:row>36</xdr:row>
      <xdr:rowOff>0</xdr:rowOff>
    </xdr:to>
    <xdr:sp macro="" textlink="">
      <xdr:nvSpPr>
        <xdr:cNvPr id="6" name="nuNumber: 5" hidden="1">
          <a:extLst>
            <a:ext uri="{FF2B5EF4-FFF2-40B4-BE49-F238E27FC236}">
              <a16:creationId xmlns:a16="http://schemas.microsoft.com/office/drawing/2014/main" id="{F4BD307B-8EB9-4F62-9E8E-6EBABAFFE3A8}"/>
            </a:ext>
          </a:extLst>
        </xdr:cNvPr>
        <xdr:cNvSpPr/>
      </xdr:nvSpPr>
      <xdr:spPr bwMode="auto">
        <a:xfrm>
          <a:off x="3943350" y="582866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224</xdr:row>
      <xdr:rowOff>104139</xdr:rowOff>
    </xdr:from>
    <xdr:to>
      <xdr:col>5</xdr:col>
      <xdr:colOff>63500</xdr:colOff>
      <xdr:row>224</xdr:row>
      <xdr:rowOff>167639</xdr:rowOff>
    </xdr:to>
    <xdr:sp macro="" textlink="">
      <xdr:nvSpPr>
        <xdr:cNvPr id="7" name="nuNumber: 6" hidden="1">
          <a:extLst>
            <a:ext uri="{FF2B5EF4-FFF2-40B4-BE49-F238E27FC236}">
              <a16:creationId xmlns:a16="http://schemas.microsoft.com/office/drawing/2014/main" id="{B6A35682-365B-4303-B295-50368D38C1EA}"/>
            </a:ext>
          </a:extLst>
        </xdr:cNvPr>
        <xdr:cNvSpPr/>
      </xdr:nvSpPr>
      <xdr:spPr bwMode="auto">
        <a:xfrm>
          <a:off x="6191250" y="36003864"/>
          <a:ext cx="63500" cy="5397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0</xdr:colOff>
      <xdr:row>244</xdr:row>
      <xdr:rowOff>104140</xdr:rowOff>
    </xdr:from>
    <xdr:to>
      <xdr:col>4</xdr:col>
      <xdr:colOff>63500</xdr:colOff>
      <xdr:row>245</xdr:row>
      <xdr:rowOff>0</xdr:rowOff>
    </xdr:to>
    <xdr:sp macro="" textlink="">
      <xdr:nvSpPr>
        <xdr:cNvPr id="8" name="nuNumber: 7" hidden="1">
          <a:extLst>
            <a:ext uri="{FF2B5EF4-FFF2-40B4-BE49-F238E27FC236}">
              <a16:creationId xmlns:a16="http://schemas.microsoft.com/office/drawing/2014/main" id="{EA478807-6F0A-451B-8FE0-41D802A8BE0C}"/>
            </a:ext>
          </a:extLst>
        </xdr:cNvPr>
        <xdr:cNvSpPr/>
      </xdr:nvSpPr>
      <xdr:spPr bwMode="auto">
        <a:xfrm>
          <a:off x="5210175" y="3926141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24</xdr:row>
      <xdr:rowOff>104140</xdr:rowOff>
    </xdr:from>
    <xdr:to>
      <xdr:col>5</xdr:col>
      <xdr:colOff>63500</xdr:colOff>
      <xdr:row>25</xdr:row>
      <xdr:rowOff>0</xdr:rowOff>
    </xdr:to>
    <xdr:sp macro="" textlink="">
      <xdr:nvSpPr>
        <xdr:cNvPr id="2" name="nuNumber: 1" hidden="1">
          <a:extLst>
            <a:ext uri="{FF2B5EF4-FFF2-40B4-BE49-F238E27FC236}">
              <a16:creationId xmlns:a16="http://schemas.microsoft.com/office/drawing/2014/main" id="{3E5B6C3F-393F-4159-8C18-28A2841B2E73}"/>
            </a:ext>
          </a:extLst>
        </xdr:cNvPr>
        <xdr:cNvSpPr/>
      </xdr:nvSpPr>
      <xdr:spPr bwMode="auto">
        <a:xfrm>
          <a:off x="6191250" y="407606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26</xdr:row>
      <xdr:rowOff>104140</xdr:rowOff>
    </xdr:from>
    <xdr:to>
      <xdr:col>5</xdr:col>
      <xdr:colOff>63500</xdr:colOff>
      <xdr:row>27</xdr:row>
      <xdr:rowOff>0</xdr:rowOff>
    </xdr:to>
    <xdr:sp macro="" textlink="">
      <xdr:nvSpPr>
        <xdr:cNvPr id="3" name="nuNumber: 2" hidden="1">
          <a:extLst>
            <a:ext uri="{FF2B5EF4-FFF2-40B4-BE49-F238E27FC236}">
              <a16:creationId xmlns:a16="http://schemas.microsoft.com/office/drawing/2014/main" id="{CF20B895-AB6B-4B33-9208-FF8697102F45}"/>
            </a:ext>
          </a:extLst>
        </xdr:cNvPr>
        <xdr:cNvSpPr/>
      </xdr:nvSpPr>
      <xdr:spPr bwMode="auto">
        <a:xfrm>
          <a:off x="6191250" y="439991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27</xdr:row>
      <xdr:rowOff>104140</xdr:rowOff>
    </xdr:from>
    <xdr:to>
      <xdr:col>5</xdr:col>
      <xdr:colOff>63500</xdr:colOff>
      <xdr:row>28</xdr:row>
      <xdr:rowOff>0</xdr:rowOff>
    </xdr:to>
    <xdr:sp macro="" textlink="">
      <xdr:nvSpPr>
        <xdr:cNvPr id="4" name="nuNumber: 3" hidden="1">
          <a:extLst>
            <a:ext uri="{FF2B5EF4-FFF2-40B4-BE49-F238E27FC236}">
              <a16:creationId xmlns:a16="http://schemas.microsoft.com/office/drawing/2014/main" id="{472B8D73-2246-4739-8538-941CB27E9319}"/>
            </a:ext>
          </a:extLst>
        </xdr:cNvPr>
        <xdr:cNvSpPr/>
      </xdr:nvSpPr>
      <xdr:spPr bwMode="auto">
        <a:xfrm>
          <a:off x="6191250" y="4561840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0</xdr:colOff>
      <xdr:row>35</xdr:row>
      <xdr:rowOff>104140</xdr:rowOff>
    </xdr:from>
    <xdr:to>
      <xdr:col>2</xdr:col>
      <xdr:colOff>63500</xdr:colOff>
      <xdr:row>36</xdr:row>
      <xdr:rowOff>0</xdr:rowOff>
    </xdr:to>
    <xdr:sp macro="" textlink="">
      <xdr:nvSpPr>
        <xdr:cNvPr id="5" name="nuNumber: 4" hidden="1">
          <a:extLst>
            <a:ext uri="{FF2B5EF4-FFF2-40B4-BE49-F238E27FC236}">
              <a16:creationId xmlns:a16="http://schemas.microsoft.com/office/drawing/2014/main" id="{8F45113D-08E0-491C-B520-1DA1269B7CE7}"/>
            </a:ext>
          </a:extLst>
        </xdr:cNvPr>
        <xdr:cNvSpPr/>
      </xdr:nvSpPr>
      <xdr:spPr bwMode="auto">
        <a:xfrm>
          <a:off x="2733675" y="598106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0</xdr:colOff>
      <xdr:row>35</xdr:row>
      <xdr:rowOff>104140</xdr:rowOff>
    </xdr:from>
    <xdr:to>
      <xdr:col>3</xdr:col>
      <xdr:colOff>63500</xdr:colOff>
      <xdr:row>36</xdr:row>
      <xdr:rowOff>0</xdr:rowOff>
    </xdr:to>
    <xdr:sp macro="" textlink="">
      <xdr:nvSpPr>
        <xdr:cNvPr id="6" name="nuNumber: 5" hidden="1">
          <a:extLst>
            <a:ext uri="{FF2B5EF4-FFF2-40B4-BE49-F238E27FC236}">
              <a16:creationId xmlns:a16="http://schemas.microsoft.com/office/drawing/2014/main" id="{F726B988-A576-48E3-80F9-A193424964CE}"/>
            </a:ext>
          </a:extLst>
        </xdr:cNvPr>
        <xdr:cNvSpPr/>
      </xdr:nvSpPr>
      <xdr:spPr bwMode="auto">
        <a:xfrm>
          <a:off x="3943350" y="598106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Regulatory%20Affairs\Rates%20Internal\6.%20Cost%20of%20Service\3.%202027%20GRA\1.Cost%20of%20Service\2027%20TY-%20June%202025%20Load%20Forecast\0.%20COS%202027%20-%20No%20Rate%20Mitigation\COS%2027.xlsm" TargetMode="External"/><Relationship Id="rId1" Type="http://schemas.openxmlformats.org/officeDocument/2006/relationships/externalLinkPath" Target="file:///H:\Regulatory%20Affairs\Rates%20Internal\6.%20Cost%20of%20Service\3.%202027%20GRA\1.Cost%20of%20Service\2027%20TY-%20June%202025%20Load%20Forecast\0.%20COS%202027%20-%20No%20Rate%20Mitigation\COS%2027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Regulatory%20Affairs\Rates%20Internal\6.%20Cost%20of%20Service\3.%202027%20GRA\1.Cost%20of%20Service\2027%20TY-%20June%202025%20Load%20Forecast\COS%2027.xlsm" TargetMode="External"/><Relationship Id="rId1" Type="http://schemas.openxmlformats.org/officeDocument/2006/relationships/externalLinkPath" Target="file:///H:\Regulatory%20Affairs\Rates%20Internal\6.%20Cost%20of%20Service\3.%202027%20GRA\1.Cost%20of%20Service\2027%20TY-%20June%202025%20Load%20Forecast\COS%202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INDEX"/>
      <sheetName val="Revisions"/>
      <sheetName val="RunOptions"/>
      <sheetName val="Reconciliation"/>
      <sheetName val="Balance"/>
      <sheetName val="Revenue Requirement"/>
      <sheetName val="Rate Base"/>
      <sheetName val="Rev to Cost"/>
      <sheetName val="Unit Costs"/>
      <sheetName val="NPRateCalcs"/>
      <sheetName val="Other Unit Costs"/>
      <sheetName val="IslIntCos"/>
      <sheetName val="LabIntCos"/>
      <sheetName val="NLSOCos"/>
      <sheetName val="AffiliateCoS"/>
      <sheetName val="AC"/>
      <sheetName val="AS1"/>
      <sheetName val="AS2"/>
      <sheetName val="AS3"/>
      <sheetName val="AS4"/>
      <sheetName val="AS5_6"/>
      <sheetName val="TrueUp"/>
      <sheetName val="IslIsoCos"/>
      <sheetName val="LabIsoCos"/>
      <sheetName val="LALCos"/>
      <sheetName val="SDEPDetails"/>
      <sheetName val="Schedule 4.1"/>
      <sheetName val="SPLTDetails"/>
      <sheetName val="Schedules 4.2,4.3,4.4"/>
      <sheetName val="AED"/>
      <sheetName val="AllocDep"/>
      <sheetName val="AllocMisc"/>
      <sheetName val="NPRateCalc Detail"/>
      <sheetName val="DistnDetails"/>
      <sheetName val="SystemizedPlant"/>
      <sheetName val="SNBVDetails"/>
      <sheetName val="O&amp;M Summary"/>
      <sheetName val="AllocPlt"/>
      <sheetName val="AllocNBV"/>
      <sheetName val="Average Costs"/>
      <sheetName val="Coverage"/>
      <sheetName val="Customers"/>
      <sheetName val="LabourRatios"/>
      <sheetName val="SpecAssFuel"/>
      <sheetName val="IndexPlt"/>
      <sheetName val="FunSum"/>
      <sheetName val="FunDep"/>
      <sheetName val="FunDisGL"/>
      <sheetName val="FunExpCr"/>
      <sheetName val="FunNBV"/>
      <sheetName val="FunOAM"/>
      <sheetName val="FunPlt"/>
      <sheetName val="FunRB"/>
      <sheetName val="PrtRanges"/>
      <sheetName val="IslandLoad"/>
      <sheetName val="LabradorLoad"/>
    </sheetNames>
    <sheetDataSet>
      <sheetData sheetId="0"/>
      <sheetData sheetId="1"/>
      <sheetData sheetId="2"/>
      <sheetData sheetId="3">
        <row r="14">
          <cell r="B14">
            <v>1</v>
          </cell>
        </row>
        <row r="15">
          <cell r="B15">
            <v>0</v>
          </cell>
        </row>
        <row r="16">
          <cell r="B16">
            <v>1</v>
          </cell>
        </row>
        <row r="17">
          <cell r="B17">
            <v>0</v>
          </cell>
        </row>
        <row r="18">
          <cell r="B18">
            <v>1</v>
          </cell>
        </row>
        <row r="19">
          <cell r="B19" t="str">
            <v>Expenses</v>
          </cell>
        </row>
        <row r="20">
          <cell r="B20" t="str">
            <v>2027 Test Year Cost of Service Study (No Rate Mitigation)</v>
          </cell>
        </row>
        <row r="22">
          <cell r="B22">
            <v>1</v>
          </cell>
        </row>
        <row r="23">
          <cell r="B23">
            <v>0</v>
          </cell>
        </row>
        <row r="25">
          <cell r="B25">
            <v>1</v>
          </cell>
        </row>
        <row r="29">
          <cell r="B29">
            <v>0</v>
          </cell>
        </row>
        <row r="30">
          <cell r="B30">
            <v>1000000</v>
          </cell>
        </row>
        <row r="31">
          <cell r="B31">
            <v>2027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INDEX"/>
      <sheetName val="Revisions"/>
      <sheetName val="RunOptions"/>
      <sheetName val="Reconciliation"/>
      <sheetName val="Balance"/>
      <sheetName val="Revenue Requirement"/>
      <sheetName val="Rate Base"/>
      <sheetName val="Rev to Cost"/>
      <sheetName val="Unit Costs"/>
      <sheetName val="NPRateCalcs"/>
      <sheetName val="Other Unit Costs"/>
      <sheetName val="IslIntCos"/>
      <sheetName val="LabIntCos"/>
      <sheetName val="NLSOCos"/>
      <sheetName val="AffiliateCoS"/>
      <sheetName val="AC"/>
      <sheetName val="AS1"/>
      <sheetName val="AS2"/>
      <sheetName val="AS3"/>
      <sheetName val="AS4"/>
      <sheetName val="AS5_6"/>
      <sheetName val="TrueUp"/>
      <sheetName val="IslIsoCos"/>
      <sheetName val="LabIsoCos"/>
      <sheetName val="LALCos"/>
      <sheetName val="SDEPDetails"/>
      <sheetName val="Schedule 4.1"/>
      <sheetName val="SPLTDetails"/>
      <sheetName val="Schedules 4.2,4.3,4.4"/>
      <sheetName val="AED"/>
      <sheetName val="AllocDep"/>
      <sheetName val="AllocMisc"/>
      <sheetName val="NPRateCalc Detail"/>
      <sheetName val="DistnDetails"/>
      <sheetName val="SystemizedPlant"/>
      <sheetName val="SNBVDetails"/>
      <sheetName val="O&amp;M Summary"/>
      <sheetName val="AllocPlt"/>
      <sheetName val="AllocNBV"/>
      <sheetName val="Average Costs"/>
      <sheetName val="Coverage"/>
      <sheetName val="Customers"/>
      <sheetName val="LabourRatios"/>
      <sheetName val="SpecAssFuel"/>
      <sheetName val="IndexPlt"/>
      <sheetName val="FunSum"/>
      <sheetName val="FunDep"/>
      <sheetName val="FunDisGL"/>
      <sheetName val="FunExpCr"/>
      <sheetName val="FunNBV"/>
      <sheetName val="FunOAM"/>
      <sheetName val="FunPlt"/>
      <sheetName val="FunRB"/>
      <sheetName val="PrtRanges"/>
      <sheetName val="IslandLoad"/>
      <sheetName val="LabradorLoad"/>
    </sheetNames>
    <sheetDataSet>
      <sheetData sheetId="0"/>
      <sheetData sheetId="1"/>
      <sheetData sheetId="2"/>
      <sheetData sheetId="3">
        <row r="14">
          <cell r="B14">
            <v>1</v>
          </cell>
        </row>
        <row r="15">
          <cell r="B15">
            <v>0</v>
          </cell>
        </row>
        <row r="16">
          <cell r="B16">
            <v>1</v>
          </cell>
        </row>
        <row r="17">
          <cell r="B17">
            <v>0</v>
          </cell>
        </row>
        <row r="18">
          <cell r="B18">
            <v>1</v>
          </cell>
        </row>
        <row r="19">
          <cell r="B19" t="str">
            <v>Expenses</v>
          </cell>
        </row>
        <row r="20">
          <cell r="B20" t="str">
            <v>2027 Test Year Cost of Service Study</v>
          </cell>
        </row>
        <row r="22">
          <cell r="B22">
            <v>1</v>
          </cell>
        </row>
        <row r="23">
          <cell r="B23">
            <v>0</v>
          </cell>
        </row>
        <row r="25">
          <cell r="B25">
            <v>1</v>
          </cell>
        </row>
        <row r="29">
          <cell r="B29">
            <v>0</v>
          </cell>
        </row>
        <row r="30">
          <cell r="B30">
            <v>1000000</v>
          </cell>
        </row>
        <row r="31">
          <cell r="B31">
            <v>2027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702F9-B087-4B87-9C69-37814F16CF62}">
  <sheetPr codeName="Sheet16">
    <pageSetUpPr fitToPage="1"/>
  </sheetPr>
  <dimension ref="A1:AF327"/>
  <sheetViews>
    <sheetView topLeftCell="A286" zoomScaleNormal="100" workbookViewId="0">
      <selection activeCell="C307" sqref="C307"/>
    </sheetView>
  </sheetViews>
  <sheetFormatPr defaultColWidth="9.140625" defaultRowHeight="12.75" x14ac:dyDescent="0.2"/>
  <cols>
    <col min="1" max="1" width="5.28515625" style="1" customWidth="1"/>
    <col min="2" max="2" width="35.7109375" style="106" customWidth="1"/>
    <col min="3" max="3" width="18.140625" style="106" customWidth="1"/>
    <col min="4" max="4" width="19" style="106" customWidth="1"/>
    <col min="5" max="5" width="14.7109375" style="106" customWidth="1"/>
    <col min="6" max="6" width="13.85546875" style="106" customWidth="1"/>
    <col min="7" max="7" width="14.7109375" style="106" hidden="1" customWidth="1"/>
    <col min="8" max="8" width="22.28515625" style="106" bestFit="1" customWidth="1"/>
    <col min="9" max="9" width="14.7109375" style="106" bestFit="1" customWidth="1"/>
    <col min="10" max="10" width="22.140625" style="106" customWidth="1"/>
    <col min="11" max="11" width="13.28515625" style="106" bestFit="1" customWidth="1"/>
    <col min="12" max="12" width="5.28515625" style="106" customWidth="1"/>
    <col min="13" max="13" width="35.7109375" style="106" customWidth="1"/>
    <col min="14" max="14" width="22.28515625" style="106" bestFit="1" customWidth="1"/>
    <col min="15" max="15" width="18.28515625" style="106" bestFit="1" customWidth="1"/>
    <col min="16" max="16" width="12" style="106" bestFit="1" customWidth="1"/>
    <col min="17" max="17" width="16.28515625" style="106" customWidth="1"/>
    <col min="18" max="21" width="9.140625" style="106"/>
    <col min="22" max="22" width="3.85546875" style="106" customWidth="1"/>
    <col min="23" max="23" width="9.140625" style="106"/>
    <col min="24" max="24" width="33.42578125" style="106" customWidth="1"/>
    <col min="25" max="25" width="22.140625" style="106" bestFit="1" customWidth="1"/>
    <col min="26" max="27" width="13.7109375" style="106" customWidth="1"/>
    <col min="28" max="28" width="13.140625" style="106" bestFit="1" customWidth="1"/>
    <col min="29" max="29" width="12.28515625" style="106" bestFit="1" customWidth="1"/>
    <col min="30" max="30" width="12.85546875" style="106" bestFit="1" customWidth="1"/>
    <col min="31" max="16384" width="9.140625" style="106"/>
  </cols>
  <sheetData>
    <row r="1" spans="1:32" ht="15" x14ac:dyDescent="0.25">
      <c r="C1" s="150"/>
      <c r="I1" s="151"/>
    </row>
    <row r="2" spans="1:32" x14ac:dyDescent="0.2">
      <c r="I2" s="151" t="s">
        <v>324</v>
      </c>
      <c r="M2" s="1"/>
      <c r="U2" s="152" t="s">
        <v>325</v>
      </c>
      <c r="X2" s="1"/>
      <c r="AC2" s="152" t="s">
        <v>325</v>
      </c>
      <c r="AF2" s="152" t="s">
        <v>326</v>
      </c>
    </row>
    <row r="3" spans="1:32" x14ac:dyDescent="0.2">
      <c r="I3" s="151" t="s">
        <v>327</v>
      </c>
      <c r="M3" s="1"/>
      <c r="U3" s="152" t="s">
        <v>3</v>
      </c>
      <c r="X3" s="1"/>
      <c r="AC3" s="152" t="s">
        <v>4</v>
      </c>
      <c r="AF3" s="152" t="s">
        <v>110</v>
      </c>
    </row>
    <row r="4" spans="1:32" x14ac:dyDescent="0.2">
      <c r="I4" s="153"/>
      <c r="M4" s="1"/>
      <c r="U4" s="153"/>
      <c r="X4" s="1"/>
      <c r="AF4" s="153"/>
    </row>
    <row r="5" spans="1:32" x14ac:dyDescent="0.2">
      <c r="M5" s="1"/>
      <c r="X5" s="1"/>
    </row>
    <row r="6" spans="1:32" x14ac:dyDescent="0.2">
      <c r="A6" s="154" t="s">
        <v>5</v>
      </c>
      <c r="B6" s="154"/>
      <c r="C6" s="154"/>
      <c r="D6" s="154"/>
      <c r="E6" s="154"/>
      <c r="F6" s="154"/>
      <c r="G6" s="154"/>
      <c r="H6" s="154"/>
      <c r="I6" s="154"/>
      <c r="M6" s="154" t="s">
        <v>5</v>
      </c>
      <c r="N6" s="154"/>
      <c r="O6" s="154"/>
      <c r="P6" s="154"/>
      <c r="Q6" s="154"/>
      <c r="R6" s="154"/>
      <c r="S6" s="154"/>
      <c r="T6" s="154"/>
      <c r="U6" s="154"/>
      <c r="X6" s="154" t="s">
        <v>5</v>
      </c>
      <c r="Y6" s="154"/>
      <c r="Z6" s="154"/>
      <c r="AA6" s="154"/>
      <c r="AB6" s="154"/>
      <c r="AC6" s="154"/>
      <c r="AD6" s="154"/>
      <c r="AE6" s="154"/>
      <c r="AF6" s="154"/>
    </row>
    <row r="7" spans="1:32" x14ac:dyDescent="0.2">
      <c r="A7" s="155" t="str">
        <f>RunName</f>
        <v>2027 Test Year Cost of Service Study</v>
      </c>
      <c r="B7" s="154"/>
      <c r="C7" s="154"/>
      <c r="D7" s="154"/>
      <c r="E7" s="154"/>
      <c r="F7" s="154"/>
      <c r="G7" s="154"/>
      <c r="H7" s="154"/>
      <c r="I7" s="154"/>
      <c r="M7" s="155" t="str">
        <f>RunName</f>
        <v>2027 Test Year Cost of Service Study</v>
      </c>
      <c r="N7" s="154"/>
      <c r="O7" s="154"/>
      <c r="P7" s="154"/>
      <c r="Q7" s="154"/>
      <c r="R7" s="154"/>
      <c r="S7" s="154"/>
      <c r="T7" s="154"/>
      <c r="U7" s="154"/>
      <c r="X7" s="155" t="str">
        <f>RunName</f>
        <v>2027 Test Year Cost of Service Study</v>
      </c>
      <c r="Y7" s="154"/>
      <c r="Z7" s="154"/>
      <c r="AA7" s="154"/>
      <c r="AB7" s="154"/>
      <c r="AC7" s="154"/>
      <c r="AD7" s="154"/>
      <c r="AE7" s="154"/>
      <c r="AF7" s="154"/>
    </row>
    <row r="8" spans="1:32" x14ac:dyDescent="0.2">
      <c r="A8" s="154" t="s">
        <v>328</v>
      </c>
      <c r="B8" s="154"/>
      <c r="C8" s="154"/>
      <c r="D8" s="154"/>
      <c r="E8" s="154"/>
      <c r="F8" s="154"/>
      <c r="G8" s="154"/>
      <c r="H8" s="154"/>
      <c r="I8" s="154"/>
      <c r="M8" s="154" t="s">
        <v>328</v>
      </c>
      <c r="N8" s="154"/>
      <c r="O8" s="154"/>
      <c r="P8" s="154"/>
      <c r="Q8" s="154"/>
      <c r="R8" s="154"/>
      <c r="S8" s="154"/>
      <c r="T8" s="154"/>
      <c r="U8" s="154"/>
      <c r="X8" s="154" t="s">
        <v>328</v>
      </c>
      <c r="Y8" s="154"/>
      <c r="Z8" s="154"/>
      <c r="AA8" s="154"/>
      <c r="AB8" s="154"/>
      <c r="AC8" s="154"/>
      <c r="AD8" s="154"/>
      <c r="AE8" s="154"/>
      <c r="AF8" s="154"/>
    </row>
    <row r="9" spans="1:32" x14ac:dyDescent="0.2">
      <c r="A9" s="154" t="s">
        <v>329</v>
      </c>
      <c r="B9" s="154"/>
      <c r="C9" s="154"/>
      <c r="D9" s="154"/>
      <c r="E9" s="154"/>
      <c r="F9" s="154"/>
      <c r="G9" s="154"/>
      <c r="H9" s="154"/>
      <c r="I9" s="154"/>
      <c r="M9" s="154" t="s">
        <v>330</v>
      </c>
      <c r="N9" s="154"/>
      <c r="O9" s="154"/>
      <c r="P9" s="154"/>
      <c r="Q9" s="154"/>
      <c r="R9" s="154"/>
      <c r="S9" s="154"/>
      <c r="T9" s="154"/>
      <c r="U9" s="154"/>
      <c r="X9" s="154" t="s">
        <v>331</v>
      </c>
      <c r="Y9" s="154"/>
      <c r="Z9" s="154"/>
      <c r="AA9" s="154"/>
      <c r="AB9" s="154"/>
      <c r="AC9" s="154"/>
      <c r="AD9" s="154"/>
      <c r="AE9" s="154"/>
      <c r="AF9" s="154"/>
    </row>
    <row r="10" spans="1:32" x14ac:dyDescent="0.2">
      <c r="M10" s="1"/>
      <c r="X10" s="1"/>
    </row>
    <row r="11" spans="1:32" s="1" customFormat="1" x14ac:dyDescent="0.2">
      <c r="B11" s="1">
        <f t="shared" ref="B11:I11" si="0">MAX(A11)+NoOne</f>
        <v>1</v>
      </c>
      <c r="C11" s="1">
        <f t="shared" si="0"/>
        <v>2</v>
      </c>
      <c r="D11" s="1">
        <f t="shared" si="0"/>
        <v>3</v>
      </c>
      <c r="E11" s="1">
        <f t="shared" si="0"/>
        <v>4</v>
      </c>
      <c r="F11" s="1">
        <f t="shared" si="0"/>
        <v>5</v>
      </c>
      <c r="G11" s="1">
        <f t="shared" si="0"/>
        <v>6</v>
      </c>
      <c r="H11" s="1">
        <f>MAX(F11)+NoOne</f>
        <v>6</v>
      </c>
      <c r="I11" s="1">
        <f t="shared" si="0"/>
        <v>7</v>
      </c>
      <c r="N11" s="1">
        <f t="shared" ref="N11" si="1">MAX(M11)+NoOne</f>
        <v>1</v>
      </c>
      <c r="O11" s="1">
        <f t="shared" ref="O11" si="2">MAX(N11)+NoOne</f>
        <v>2</v>
      </c>
      <c r="P11" s="1">
        <f t="shared" ref="P11" si="3">MAX(O11)+NoOne</f>
        <v>3</v>
      </c>
      <c r="Q11" s="1">
        <f t="shared" ref="Q11" si="4">MAX(P11)+NoOne</f>
        <v>4</v>
      </c>
      <c r="Y11" s="1">
        <f t="shared" ref="Y11" si="5">MAX(X11)+NoOne</f>
        <v>1</v>
      </c>
    </row>
    <row r="12" spans="1:32" s="1" customFormat="1" x14ac:dyDescent="0.2"/>
    <row r="13" spans="1:32" x14ac:dyDescent="0.2">
      <c r="B13" s="1"/>
      <c r="C13" s="1"/>
      <c r="D13" s="156" t="s">
        <v>332</v>
      </c>
      <c r="E13" s="1"/>
      <c r="F13" s="1"/>
      <c r="H13" s="156" t="s">
        <v>333</v>
      </c>
      <c r="I13" s="1" t="s">
        <v>277</v>
      </c>
      <c r="N13" s="156" t="s">
        <v>333</v>
      </c>
      <c r="O13" s="157" t="s">
        <v>181</v>
      </c>
      <c r="P13" s="157"/>
      <c r="Q13" s="5"/>
      <c r="Y13" s="158" t="s">
        <v>334</v>
      </c>
      <c r="Z13" s="157"/>
      <c r="AA13" s="157"/>
      <c r="AB13" s="5"/>
    </row>
    <row r="14" spans="1:32" x14ac:dyDescent="0.2">
      <c r="A14" s="1" t="s">
        <v>14</v>
      </c>
      <c r="B14" s="1"/>
      <c r="C14" s="1"/>
      <c r="D14" s="1" t="s">
        <v>335</v>
      </c>
      <c r="E14" s="1" t="s">
        <v>277</v>
      </c>
      <c r="F14" s="1"/>
      <c r="G14" s="156" t="s">
        <v>336</v>
      </c>
      <c r="H14" s="156" t="s">
        <v>337</v>
      </c>
      <c r="I14" s="1" t="s">
        <v>338</v>
      </c>
      <c r="L14" s="1" t="s">
        <v>14</v>
      </c>
      <c r="M14" s="1"/>
      <c r="N14" s="156" t="s">
        <v>337</v>
      </c>
      <c r="O14" s="157" t="s">
        <v>339</v>
      </c>
      <c r="P14" s="157"/>
      <c r="Q14" s="12" t="s">
        <v>340</v>
      </c>
      <c r="W14" s="1" t="s">
        <v>14</v>
      </c>
      <c r="X14" s="1"/>
      <c r="Y14" s="156" t="s">
        <v>341</v>
      </c>
      <c r="Z14" s="157"/>
      <c r="AA14" s="157"/>
      <c r="AB14" s="12"/>
    </row>
    <row r="15" spans="1:32" x14ac:dyDescent="0.2">
      <c r="A15" s="1" t="s">
        <v>30</v>
      </c>
      <c r="B15" s="1" t="s">
        <v>342</v>
      </c>
      <c r="C15" s="1" t="s">
        <v>343</v>
      </c>
      <c r="D15" s="1" t="s">
        <v>344</v>
      </c>
      <c r="E15" s="156" t="s">
        <v>345</v>
      </c>
      <c r="F15" s="1" t="s">
        <v>346</v>
      </c>
      <c r="G15" s="1" t="s">
        <v>347</v>
      </c>
      <c r="H15" s="1" t="s">
        <v>344</v>
      </c>
      <c r="I15" s="1" t="s">
        <v>348</v>
      </c>
      <c r="L15" s="1" t="s">
        <v>30</v>
      </c>
      <c r="M15" s="1" t="s">
        <v>342</v>
      </c>
      <c r="N15" s="1" t="s">
        <v>344</v>
      </c>
      <c r="O15" s="159" t="s">
        <v>349</v>
      </c>
      <c r="P15" s="159"/>
      <c r="Q15" s="1" t="s">
        <v>350</v>
      </c>
      <c r="W15" s="1" t="s">
        <v>30</v>
      </c>
      <c r="X15" s="1" t="s">
        <v>342</v>
      </c>
      <c r="Y15" s="1" t="s">
        <v>351</v>
      </c>
      <c r="Z15" s="1" t="s">
        <v>33</v>
      </c>
      <c r="AA15" s="160" t="s">
        <v>34</v>
      </c>
      <c r="AB15" s="1" t="s">
        <v>33</v>
      </c>
      <c r="AC15" s="160" t="s">
        <v>34</v>
      </c>
    </row>
    <row r="16" spans="1:32" x14ac:dyDescent="0.2">
      <c r="B16" s="1"/>
      <c r="C16" s="1"/>
      <c r="D16" s="1"/>
      <c r="E16" s="1"/>
      <c r="F16" s="1"/>
      <c r="H16" s="161" t="s">
        <v>352</v>
      </c>
      <c r="I16" s="1" t="s">
        <v>353</v>
      </c>
      <c r="L16" s="1"/>
      <c r="M16" s="1"/>
      <c r="N16" s="161"/>
      <c r="W16" s="1"/>
      <c r="X16" s="1"/>
      <c r="Y16" s="161"/>
    </row>
    <row r="17" spans="1:30" ht="11.25" customHeight="1" x14ac:dyDescent="0.2">
      <c r="B17" s="1"/>
      <c r="C17" s="1" t="s">
        <v>37</v>
      </c>
      <c r="D17" s="1" t="s">
        <v>37</v>
      </c>
      <c r="E17" s="1" t="s">
        <v>37</v>
      </c>
      <c r="F17" s="1" t="s">
        <v>37</v>
      </c>
      <c r="G17" s="1" t="s">
        <v>37</v>
      </c>
      <c r="H17" s="1" t="s">
        <v>37</v>
      </c>
      <c r="I17" s="1"/>
      <c r="L17" s="1"/>
      <c r="M17" s="1"/>
      <c r="N17" s="1" t="s">
        <v>37</v>
      </c>
      <c r="O17" s="1" t="s">
        <v>37</v>
      </c>
      <c r="P17" s="1" t="s">
        <v>37</v>
      </c>
      <c r="Q17" s="1" t="s">
        <v>37</v>
      </c>
      <c r="W17" s="1"/>
      <c r="X17" s="1"/>
      <c r="Y17" s="1" t="s">
        <v>37</v>
      </c>
      <c r="Z17" s="1" t="s">
        <v>37</v>
      </c>
      <c r="AA17" s="1" t="s">
        <v>37</v>
      </c>
      <c r="AB17" s="1" t="s">
        <v>354</v>
      </c>
      <c r="AC17" s="1" t="s">
        <v>354</v>
      </c>
    </row>
    <row r="18" spans="1:30" ht="4.5" customHeight="1" x14ac:dyDescent="0.2">
      <c r="L18" s="1"/>
      <c r="W18" s="1"/>
    </row>
    <row r="19" spans="1:30" ht="15" x14ac:dyDescent="0.25">
      <c r="H19" s="162"/>
      <c r="J19" s="163"/>
      <c r="L19" s="1"/>
      <c r="O19" s="12"/>
      <c r="P19" s="12"/>
      <c r="W19" s="1">
        <f>MAX(W7:W18)+NoOne</f>
        <v>1</v>
      </c>
      <c r="X19" s="106" t="s">
        <v>177</v>
      </c>
      <c r="Y19" s="164">
        <v>269134555.84989369</v>
      </c>
      <c r="Z19" s="164">
        <v>133794097.71196806</v>
      </c>
      <c r="AA19" s="164">
        <v>135340458.13792562</v>
      </c>
      <c r="AB19" s="165">
        <f>Z19/$Y19</f>
        <v>0.49712716113121491</v>
      </c>
      <c r="AC19" s="165">
        <f>AA19/$Y19</f>
        <v>0.50287283886878509</v>
      </c>
    </row>
    <row r="20" spans="1:30" ht="15" x14ac:dyDescent="0.25">
      <c r="B20" s="2" t="s">
        <v>328</v>
      </c>
      <c r="C20" s="163"/>
      <c r="D20" s="163"/>
      <c r="H20" s="166"/>
      <c r="I20" s="166"/>
      <c r="J20" s="1"/>
      <c r="L20" s="1"/>
      <c r="M20" s="2" t="s">
        <v>328</v>
      </c>
      <c r="W20" s="1">
        <f>MAX(W8:W19)+NoOne</f>
        <v>2</v>
      </c>
      <c r="X20" s="106" t="s">
        <v>178</v>
      </c>
      <c r="Y20" s="164">
        <v>-40178593</v>
      </c>
      <c r="Z20" s="164">
        <v>-19973869.876336504</v>
      </c>
      <c r="AA20" s="164">
        <v>-20204723.123663496</v>
      </c>
      <c r="AB20" s="165">
        <f t="shared" ref="AB20:AC22" si="6">Z20/$Y20</f>
        <v>0.49712716113121491</v>
      </c>
      <c r="AC20" s="165">
        <f t="shared" si="6"/>
        <v>0.50287283886878509</v>
      </c>
    </row>
    <row r="21" spans="1:30" ht="15" x14ac:dyDescent="0.25">
      <c r="A21" s="1">
        <f>MAX(A18:A20)+NoOne</f>
        <v>1</v>
      </c>
      <c r="B21" s="5" t="s">
        <v>224</v>
      </c>
      <c r="C21" s="167">
        <f>C66</f>
        <v>636811717.27999985</v>
      </c>
      <c r="D21" s="167">
        <f>D66</f>
        <v>574037013.76257324</v>
      </c>
      <c r="E21" s="167">
        <f t="shared" ref="D21:G22" si="7">E66</f>
        <v>0</v>
      </c>
      <c r="F21" s="167">
        <f t="shared" si="7"/>
        <v>62778787.672969401</v>
      </c>
      <c r="G21" s="164">
        <f t="shared" si="7"/>
        <v>0</v>
      </c>
      <c r="H21" s="167">
        <f>SUM(D21:G21)</f>
        <v>636815801.43554258</v>
      </c>
      <c r="I21" s="167"/>
      <c r="J21" s="164"/>
      <c r="K21" s="163"/>
      <c r="L21" s="1">
        <f>MAX(L18:L20)+NoOne</f>
        <v>1</v>
      </c>
      <c r="M21" s="5" t="s">
        <v>224</v>
      </c>
      <c r="N21" s="168">
        <f>H21</f>
        <v>636815801.43554258</v>
      </c>
      <c r="O21" s="168">
        <v>-435587126.90141916</v>
      </c>
      <c r="P21" s="168"/>
      <c r="Q21" s="168">
        <f>SUM(N21:P21)</f>
        <v>201228674.53412342</v>
      </c>
      <c r="R21" s="1"/>
      <c r="W21" s="1">
        <f>MAX(W9:W20)+NoOne</f>
        <v>3</v>
      </c>
      <c r="X21" s="106" t="s">
        <v>179</v>
      </c>
      <c r="Y21" s="164">
        <v>46146683.150106318</v>
      </c>
      <c r="Z21" s="164">
        <v>22940769.590034023</v>
      </c>
      <c r="AA21" s="164">
        <v>23205913.560072295</v>
      </c>
      <c r="AB21" s="165">
        <f t="shared" si="6"/>
        <v>0.49712716113121491</v>
      </c>
      <c r="AC21" s="165">
        <f t="shared" si="6"/>
        <v>0.50287283886878509</v>
      </c>
    </row>
    <row r="22" spans="1:30" ht="15" x14ac:dyDescent="0.25">
      <c r="A22" s="1">
        <f>MAX(A19:A21)+NoOne</f>
        <v>2</v>
      </c>
      <c r="B22" s="169" t="s">
        <v>355</v>
      </c>
      <c r="C22" s="167">
        <f>C67</f>
        <v>0</v>
      </c>
      <c r="D22" s="167">
        <f t="shared" si="7"/>
        <v>0</v>
      </c>
      <c r="E22" s="167">
        <f t="shared" si="7"/>
        <v>0</v>
      </c>
      <c r="F22" s="167">
        <f t="shared" si="7"/>
        <v>0</v>
      </c>
      <c r="G22" s="167">
        <f t="shared" si="7"/>
        <v>0</v>
      </c>
      <c r="H22" s="170">
        <f>SUM(D22:G22)</f>
        <v>0</v>
      </c>
      <c r="I22" s="149"/>
      <c r="L22" s="1">
        <f>MAX(L19:L21)+NoOne</f>
        <v>2</v>
      </c>
      <c r="M22" s="80" t="s">
        <v>356</v>
      </c>
      <c r="O22" s="168">
        <v>-32107596.128737524</v>
      </c>
      <c r="Q22" s="168">
        <f>SUM(N22:P22)</f>
        <v>-32107596.128737524</v>
      </c>
      <c r="W22" s="1">
        <f>MAX(W10:W21)+NoOne</f>
        <v>4</v>
      </c>
      <c r="X22" s="106" t="s">
        <v>180</v>
      </c>
      <c r="Y22" s="164">
        <v>465082406</v>
      </c>
      <c r="Z22" s="164">
        <v>231205096.18685511</v>
      </c>
      <c r="AA22" s="164">
        <v>233877309.81314489</v>
      </c>
      <c r="AB22" s="165">
        <f t="shared" si="6"/>
        <v>0.49712716113121491</v>
      </c>
      <c r="AC22" s="165">
        <f t="shared" si="6"/>
        <v>0.50287283886878509</v>
      </c>
    </row>
    <row r="23" spans="1:30" ht="18" customHeight="1" x14ac:dyDescent="0.2">
      <c r="A23" s="1">
        <f>MAX(A20:A22)+NoOne</f>
        <v>3</v>
      </c>
      <c r="B23" s="169" t="s">
        <v>357</v>
      </c>
      <c r="C23" s="171">
        <f t="shared" ref="C23:H23" si="8">SUM(C21:C22)</f>
        <v>636811717.27999985</v>
      </c>
      <c r="D23" s="171">
        <f t="shared" si="8"/>
        <v>574037013.76257324</v>
      </c>
      <c r="E23" s="171">
        <f t="shared" si="8"/>
        <v>0</v>
      </c>
      <c r="F23" s="171">
        <f t="shared" si="8"/>
        <v>62778787.672969401</v>
      </c>
      <c r="G23" s="171">
        <f t="shared" si="8"/>
        <v>0</v>
      </c>
      <c r="H23" s="171">
        <f t="shared" si="8"/>
        <v>636815801.43554258</v>
      </c>
      <c r="I23" s="172">
        <f>IF(D23&lt;&gt;0,C23/D23,0)</f>
        <v>1.1093565432409396</v>
      </c>
      <c r="J23" s="165"/>
      <c r="K23" s="163"/>
      <c r="L23" s="1">
        <f>MAX(L20:L22)+NoOne</f>
        <v>3</v>
      </c>
      <c r="M23" s="169" t="s">
        <v>357</v>
      </c>
      <c r="N23" s="171">
        <f t="shared" ref="N23:Q23" si="9">SUM(N21:N22)</f>
        <v>636815801.43554258</v>
      </c>
      <c r="O23" s="171">
        <f t="shared" si="9"/>
        <v>-467694723.03015667</v>
      </c>
      <c r="P23" s="171">
        <f t="shared" si="9"/>
        <v>0</v>
      </c>
      <c r="Q23" s="171">
        <f t="shared" si="9"/>
        <v>169121078.40538591</v>
      </c>
      <c r="W23" s="1">
        <f>MAX(W11:W22)+NoOne</f>
        <v>5</v>
      </c>
      <c r="X23" s="5" t="s">
        <v>358</v>
      </c>
      <c r="Y23" s="171">
        <f>SUM(Y19:Y22)</f>
        <v>740185052</v>
      </c>
      <c r="Z23" s="171">
        <f t="shared" ref="Z23:AA23" si="10">SUM(Z19:Z22)</f>
        <v>367966093.61252069</v>
      </c>
      <c r="AA23" s="171">
        <f t="shared" si="10"/>
        <v>372218958.38747931</v>
      </c>
    </row>
    <row r="24" spans="1:30" x14ac:dyDescent="0.2">
      <c r="B24" s="173"/>
      <c r="C24" s="167"/>
      <c r="D24" s="167"/>
      <c r="E24" s="167"/>
      <c r="F24" s="167"/>
      <c r="H24" s="170"/>
      <c r="I24" s="149"/>
      <c r="K24" s="163"/>
      <c r="L24" s="1"/>
      <c r="M24" s="173"/>
    </row>
    <row r="25" spans="1:30" x14ac:dyDescent="0.2">
      <c r="A25" s="1">
        <f>MAX(A22:A24)+NoOne</f>
        <v>4</v>
      </c>
      <c r="B25" s="106" t="s">
        <v>359</v>
      </c>
      <c r="C25" s="167">
        <f>C73</f>
        <v>42815528.620000005</v>
      </c>
      <c r="D25" s="167">
        <f>D73</f>
        <v>42815547.883037768</v>
      </c>
      <c r="E25" s="167">
        <f>E73</f>
        <v>0</v>
      </c>
      <c r="F25" s="167">
        <v>0</v>
      </c>
      <c r="H25" s="167">
        <f>H73</f>
        <v>42815547.883037768</v>
      </c>
      <c r="I25" s="149">
        <f>IF(D25&lt;&gt;0,C25/D25,0)</f>
        <v>0.99999955009246133</v>
      </c>
      <c r="J25" s="165"/>
      <c r="K25" s="163"/>
      <c r="L25" s="1">
        <f>MAX(L22:L24)+NoOne</f>
        <v>4</v>
      </c>
      <c r="M25" s="106" t="s">
        <v>359</v>
      </c>
      <c r="N25" s="163">
        <f>H25</f>
        <v>42815547.883037768</v>
      </c>
      <c r="O25" s="168">
        <v>-34269260.353916034</v>
      </c>
      <c r="Q25" s="168">
        <f>SUM(N25:P25)</f>
        <v>8546287.5291217342</v>
      </c>
      <c r="X25" s="106" t="s">
        <v>562</v>
      </c>
    </row>
    <row r="26" spans="1:30" x14ac:dyDescent="0.2">
      <c r="A26" s="1">
        <f>MAX(A23:A25)+NoOne</f>
        <v>5</v>
      </c>
      <c r="B26" s="5" t="s">
        <v>360</v>
      </c>
      <c r="C26" s="167">
        <f>+C75</f>
        <v>0</v>
      </c>
      <c r="D26" s="167">
        <f>+D75</f>
        <v>0</v>
      </c>
      <c r="E26" s="167">
        <f>+E75</f>
        <v>0</v>
      </c>
      <c r="F26" s="167">
        <f>+F75</f>
        <v>0</v>
      </c>
      <c r="H26" s="167">
        <f>+H75</f>
        <v>0</v>
      </c>
      <c r="I26" s="149">
        <f t="shared" ref="I26:I36" si="11">IF(D26&lt;&gt;0,C26/D26,0)</f>
        <v>0</v>
      </c>
      <c r="K26" s="163"/>
      <c r="L26" s="1"/>
      <c r="M26" s="5"/>
      <c r="N26" s="163"/>
    </row>
    <row r="27" spans="1:30" x14ac:dyDescent="0.2">
      <c r="A27" s="1">
        <f>MAX(A24:A26)+NoOne</f>
        <v>6</v>
      </c>
      <c r="B27" s="106" t="s">
        <v>361</v>
      </c>
      <c r="C27" s="167">
        <f>+C223</f>
        <v>9171997.7922488302</v>
      </c>
      <c r="D27" s="167">
        <f>+D223</f>
        <v>9172199.8960632775</v>
      </c>
      <c r="E27" s="167">
        <f>+E223</f>
        <v>0</v>
      </c>
      <c r="F27" s="167">
        <v>0</v>
      </c>
      <c r="H27" s="170">
        <f>SUM(D27:F27)</f>
        <v>9172199.8960632775</v>
      </c>
      <c r="I27" s="149">
        <f t="shared" si="11"/>
        <v>0.99997796561165941</v>
      </c>
      <c r="J27" s="165"/>
      <c r="K27" s="163"/>
      <c r="L27" s="1">
        <f>MAX(L24:L25)+NoOne</f>
        <v>5</v>
      </c>
      <c r="M27" s="106" t="s">
        <v>361</v>
      </c>
      <c r="N27" s="163">
        <f t="shared" ref="N27:N29" si="12">H27</f>
        <v>9172199.8960632775</v>
      </c>
      <c r="Q27" s="168">
        <f>SUM(N27:P27)</f>
        <v>9172199.8960632775</v>
      </c>
    </row>
    <row r="28" spans="1:30" x14ac:dyDescent="0.2">
      <c r="A28" s="1">
        <f>MAX(A25:A27)+NoOne</f>
        <v>7</v>
      </c>
      <c r="B28" s="106" t="s">
        <v>362</v>
      </c>
      <c r="C28" s="167">
        <f>+C225</f>
        <v>0</v>
      </c>
      <c r="D28" s="167">
        <f>+D225</f>
        <v>0</v>
      </c>
      <c r="E28" s="167">
        <f>+E225</f>
        <v>0</v>
      </c>
      <c r="F28" s="167">
        <v>0</v>
      </c>
      <c r="H28" s="170">
        <f>+C28</f>
        <v>0</v>
      </c>
      <c r="I28" s="149">
        <f t="shared" si="11"/>
        <v>0</v>
      </c>
      <c r="K28" s="163"/>
      <c r="L28" s="1">
        <f>MAX(L25:L27)+NoOne</f>
        <v>6</v>
      </c>
      <c r="M28" s="106" t="s">
        <v>362</v>
      </c>
      <c r="N28" s="163">
        <f t="shared" si="12"/>
        <v>0</v>
      </c>
      <c r="Q28" s="168">
        <f t="shared" ref="Q28:Q29" si="13">SUM(N28:P28)</f>
        <v>0</v>
      </c>
      <c r="AD28" s="1" t="s">
        <v>363</v>
      </c>
    </row>
    <row r="29" spans="1:30" x14ac:dyDescent="0.2">
      <c r="A29" s="1">
        <f>MAX(A26:A28)+NoOne</f>
        <v>8</v>
      </c>
      <c r="B29" s="106" t="s">
        <v>364</v>
      </c>
      <c r="C29" s="167">
        <f>C236</f>
        <v>22231035.759315588</v>
      </c>
      <c r="D29" s="167">
        <f>D236</f>
        <v>20039019.906508639</v>
      </c>
      <c r="E29" s="167">
        <f>E236</f>
        <v>0</v>
      </c>
      <c r="F29" s="167">
        <f>C324</f>
        <v>2191540.5204261681</v>
      </c>
      <c r="H29" s="170">
        <f>SUM(D29:F29)</f>
        <v>22230560.426934808</v>
      </c>
      <c r="I29" s="149">
        <f>IF(D29&lt;&gt;0,C29/D29,0)</f>
        <v>1.1093873783764736</v>
      </c>
      <c r="J29" s="165"/>
      <c r="K29" s="163"/>
      <c r="L29" s="1">
        <f>MAX(L26:L28)+NoOne</f>
        <v>7</v>
      </c>
      <c r="M29" s="106" t="s">
        <v>364</v>
      </c>
      <c r="N29" s="163">
        <f t="shared" si="12"/>
        <v>22230560.426934808</v>
      </c>
      <c r="Q29" s="168">
        <f t="shared" si="13"/>
        <v>22230560.426934808</v>
      </c>
      <c r="Y29" s="158" t="s">
        <v>334</v>
      </c>
      <c r="Z29" s="1" t="s">
        <v>16</v>
      </c>
      <c r="AA29" s="1" t="s">
        <v>16</v>
      </c>
      <c r="AB29" s="1" t="s">
        <v>16</v>
      </c>
      <c r="AC29" s="1" t="s">
        <v>16</v>
      </c>
      <c r="AD29" s="156" t="s">
        <v>365</v>
      </c>
    </row>
    <row r="30" spans="1:30" x14ac:dyDescent="0.2">
      <c r="C30" s="163"/>
      <c r="D30" s="163"/>
      <c r="E30" s="163"/>
      <c r="F30" s="163"/>
      <c r="H30" s="163"/>
      <c r="I30" s="149"/>
      <c r="K30" s="163"/>
      <c r="L30" s="1"/>
      <c r="Y30" s="156" t="s">
        <v>341</v>
      </c>
      <c r="Z30" s="1" t="s">
        <v>33</v>
      </c>
      <c r="AA30" s="1" t="s">
        <v>33</v>
      </c>
      <c r="AB30" s="1" t="s">
        <v>34</v>
      </c>
      <c r="AC30" s="1" t="s">
        <v>34</v>
      </c>
      <c r="AD30" s="156" t="s">
        <v>366</v>
      </c>
    </row>
    <row r="31" spans="1:30" ht="15" x14ac:dyDescent="0.25">
      <c r="B31" s="174" t="s">
        <v>367</v>
      </c>
      <c r="C31" s="175"/>
      <c r="D31" s="175"/>
      <c r="E31" s="175"/>
      <c r="F31" s="175"/>
      <c r="H31" s="170"/>
      <c r="I31" s="149"/>
      <c r="J31" s="176"/>
      <c r="K31" s="163"/>
      <c r="L31" s="1"/>
      <c r="M31" s="174" t="s">
        <v>367</v>
      </c>
      <c r="Y31" s="1" t="s">
        <v>351</v>
      </c>
      <c r="Z31" s="12" t="s">
        <v>215</v>
      </c>
      <c r="AB31" s="12" t="s">
        <v>216</v>
      </c>
      <c r="AD31" s="1" t="s">
        <v>351</v>
      </c>
    </row>
    <row r="32" spans="1:30" x14ac:dyDescent="0.2">
      <c r="A32" s="1">
        <f>MAX(A29:A31)+NoOne</f>
        <v>9</v>
      </c>
      <c r="B32" s="106" t="s">
        <v>0</v>
      </c>
      <c r="C32" s="167">
        <f>C87</f>
        <v>68909057.952898145</v>
      </c>
      <c r="D32" s="167">
        <f>D87</f>
        <v>87315429.214441314</v>
      </c>
      <c r="E32" s="167">
        <f>E87</f>
        <v>0</v>
      </c>
      <c r="F32" s="170">
        <f>C32-D32-E32</f>
        <v>-18406371.26154317</v>
      </c>
      <c r="H32" s="170">
        <f>SUM(D32:F32)</f>
        <v>68909057.952898145</v>
      </c>
      <c r="I32" s="149">
        <f t="shared" si="11"/>
        <v>0.78919680717209495</v>
      </c>
      <c r="J32" s="163"/>
      <c r="K32" s="163"/>
      <c r="L32" s="1">
        <f>MAX(L29:L31)+NoOne</f>
        <v>8</v>
      </c>
      <c r="M32" s="106" t="s">
        <v>0</v>
      </c>
      <c r="N32" s="163">
        <f t="shared" ref="N32:N36" si="14">H32</f>
        <v>68909057.952898145</v>
      </c>
      <c r="Q32" s="168">
        <f t="shared" ref="Q32:Q36" si="15">SUM(N32:P32)</f>
        <v>68909057.952898145</v>
      </c>
      <c r="W32" s="1"/>
      <c r="Y32" s="1" t="s">
        <v>37</v>
      </c>
      <c r="Z32" s="1" t="s">
        <v>354</v>
      </c>
      <c r="AA32" s="1" t="s">
        <v>37</v>
      </c>
      <c r="AB32" s="1" t="s">
        <v>354</v>
      </c>
      <c r="AC32" s="1" t="s">
        <v>37</v>
      </c>
      <c r="AD32" s="1" t="s">
        <v>354</v>
      </c>
    </row>
    <row r="33" spans="1:30" x14ac:dyDescent="0.2">
      <c r="A33" s="1">
        <f>MAX(A30:A32)+NoOne</f>
        <v>10</v>
      </c>
      <c r="B33" s="106" t="s">
        <v>368</v>
      </c>
      <c r="C33" s="167">
        <f>C128</f>
        <v>1717948.9398972169</v>
      </c>
      <c r="D33" s="167">
        <f>D128</f>
        <v>10404401.507694557</v>
      </c>
      <c r="E33" s="167">
        <f>E128</f>
        <v>0</v>
      </c>
      <c r="F33" s="170">
        <f>C33-D33-E33</f>
        <v>-8686452.5677973405</v>
      </c>
      <c r="H33" s="170">
        <f>SUM(D33:F33)</f>
        <v>1717948.9398972169</v>
      </c>
      <c r="I33" s="149">
        <f t="shared" si="11"/>
        <v>0.16511751671893002</v>
      </c>
      <c r="J33" s="163"/>
      <c r="K33" s="163"/>
      <c r="L33" s="1">
        <f>MAX(L30:L32)+NoOne</f>
        <v>9</v>
      </c>
      <c r="M33" s="106" t="s">
        <v>368</v>
      </c>
      <c r="N33" s="163">
        <f t="shared" si="14"/>
        <v>1717948.9398972169</v>
      </c>
      <c r="Q33" s="168">
        <f t="shared" si="15"/>
        <v>1717948.9398972169</v>
      </c>
      <c r="W33" s="1"/>
      <c r="X33" s="2" t="s">
        <v>328</v>
      </c>
    </row>
    <row r="34" spans="1:30" ht="16.5" x14ac:dyDescent="0.3">
      <c r="A34" s="1">
        <f>MAX(A31:A33)+NoOne</f>
        <v>11</v>
      </c>
      <c r="B34" s="106" t="s">
        <v>369</v>
      </c>
      <c r="C34" s="167">
        <f>C166</f>
        <v>11969343.183470888</v>
      </c>
      <c r="D34" s="167">
        <f>D166</f>
        <v>44165488.189015225</v>
      </c>
      <c r="E34" s="167">
        <f>E166</f>
        <v>0</v>
      </c>
      <c r="F34" s="170">
        <f>C34-D34-E34</f>
        <v>-32196145.005544335</v>
      </c>
      <c r="H34" s="170">
        <f>SUM(D34:F34)</f>
        <v>11969343.18347089</v>
      </c>
      <c r="I34" s="149">
        <f t="shared" si="11"/>
        <v>0.27101122786746157</v>
      </c>
      <c r="J34" s="163"/>
      <c r="K34" s="163"/>
      <c r="L34" s="1">
        <f>MAX(L31:L33)+NoOne</f>
        <v>10</v>
      </c>
      <c r="M34" s="106" t="s">
        <v>369</v>
      </c>
      <c r="N34" s="163">
        <f t="shared" si="14"/>
        <v>11969343.18347089</v>
      </c>
      <c r="Q34" s="168">
        <f t="shared" si="15"/>
        <v>11969343.18347089</v>
      </c>
      <c r="W34" s="1">
        <f>MAX(W32:W33)+NoOne</f>
        <v>1</v>
      </c>
      <c r="X34" s="5" t="s">
        <v>224</v>
      </c>
      <c r="Y34" s="164">
        <f>SUM(AA34,AC34)</f>
        <v>642307199.01942611</v>
      </c>
      <c r="Z34" s="177">
        <v>0.88738604118773867</v>
      </c>
      <c r="AA34" s="164">
        <f>AA$44*Z34</f>
        <v>326527975.10213161</v>
      </c>
      <c r="AB34" s="177">
        <v>0.8483695330439589</v>
      </c>
      <c r="AC34" s="164">
        <f>AC$44*AB34</f>
        <v>315779223.91729456</v>
      </c>
      <c r="AD34" s="177">
        <f>Y34/Y$44</f>
        <v>0.8677656989747291</v>
      </c>
    </row>
    <row r="35" spans="1:30" ht="16.5" x14ac:dyDescent="0.3">
      <c r="A35" s="1">
        <f>MAX(A32:A34)+NoOne</f>
        <v>12</v>
      </c>
      <c r="B35" s="106" t="s">
        <v>370</v>
      </c>
      <c r="C35" s="167">
        <f>C198</f>
        <v>4077136.5066004382</v>
      </c>
      <c r="D35" s="167">
        <f>D198</f>
        <v>9758495.865111161</v>
      </c>
      <c r="E35" s="167">
        <f>E198</f>
        <v>0</v>
      </c>
      <c r="F35" s="170">
        <f>C35-D35-E35</f>
        <v>-5681359.3585107233</v>
      </c>
      <c r="H35" s="178">
        <f>SUM(D35:F35)</f>
        <v>4077136.5066004377</v>
      </c>
      <c r="I35" s="149">
        <f t="shared" si="11"/>
        <v>0.41780378482068403</v>
      </c>
      <c r="J35" s="163"/>
      <c r="K35" s="163"/>
      <c r="L35" s="1">
        <f>MAX(L32:L34)+NoOne</f>
        <v>11</v>
      </c>
      <c r="M35" s="106" t="s">
        <v>370</v>
      </c>
      <c r="N35" s="163">
        <f t="shared" si="14"/>
        <v>4077136.5066004377</v>
      </c>
      <c r="Q35" s="168">
        <f t="shared" si="15"/>
        <v>4077136.5066004377</v>
      </c>
      <c r="W35" s="1">
        <f>MAX(W32:W34)+NoOne</f>
        <v>2</v>
      </c>
      <c r="X35" s="80" t="s">
        <v>356</v>
      </c>
      <c r="Y35" s="164">
        <f>SUM(AA35,AC35)</f>
        <v>47345155.223936856</v>
      </c>
      <c r="Z35" s="177">
        <v>6.2801465870849699E-2</v>
      </c>
      <c r="AA35" s="164">
        <f>AA$44*Z35</f>
        <v>23108810.069636602</v>
      </c>
      <c r="AB35" s="177">
        <v>6.5113140016555132E-2</v>
      </c>
      <c r="AC35" s="164">
        <f>AC$44*AB35</f>
        <v>24236345.15430025</v>
      </c>
      <c r="AD35" s="177">
        <f>Y35/Y$44</f>
        <v>6.3963944011040177E-2</v>
      </c>
    </row>
    <row r="36" spans="1:30" x14ac:dyDescent="0.2">
      <c r="A36" s="1">
        <f>MAX(A33:A35)+NoOne</f>
        <v>13</v>
      </c>
      <c r="B36" s="106" t="s">
        <v>371</v>
      </c>
      <c r="C36" s="167">
        <v>0</v>
      </c>
      <c r="D36" s="167">
        <v>0</v>
      </c>
      <c r="E36" s="167">
        <f>-E225</f>
        <v>0</v>
      </c>
      <c r="F36" s="170">
        <f>C36-D36-E36</f>
        <v>0</v>
      </c>
      <c r="H36" s="178">
        <f>SUM(D36:F36)</f>
        <v>0</v>
      </c>
      <c r="I36" s="149">
        <f t="shared" si="11"/>
        <v>0</v>
      </c>
      <c r="J36" s="163"/>
      <c r="K36" s="163"/>
      <c r="L36" s="1">
        <f>MAX(L33:L35)+NoOne</f>
        <v>12</v>
      </c>
      <c r="M36" s="106" t="s">
        <v>371</v>
      </c>
      <c r="N36" s="163">
        <f t="shared" si="14"/>
        <v>0</v>
      </c>
      <c r="Q36" s="168">
        <f t="shared" si="15"/>
        <v>0</v>
      </c>
      <c r="W36" s="1">
        <f>MAX(W33:W35)+NoOne</f>
        <v>3</v>
      </c>
      <c r="X36" s="169" t="s">
        <v>357</v>
      </c>
      <c r="Y36" s="171">
        <f t="shared" ref="Y36:AD36" si="16">SUM(Y34:Y35)</f>
        <v>689652354.2433629</v>
      </c>
      <c r="Z36" s="179">
        <f t="shared" si="16"/>
        <v>0.95018750705858834</v>
      </c>
      <c r="AA36" s="171">
        <f t="shared" si="16"/>
        <v>349636785.17176819</v>
      </c>
      <c r="AB36" s="179">
        <f t="shared" si="16"/>
        <v>0.91348267306051401</v>
      </c>
      <c r="AC36" s="171">
        <f t="shared" si="16"/>
        <v>340015569.07159483</v>
      </c>
      <c r="AD36" s="179">
        <f t="shared" si="16"/>
        <v>0.93172964298576932</v>
      </c>
    </row>
    <row r="37" spans="1:30" x14ac:dyDescent="0.2">
      <c r="C37" s="167"/>
      <c r="D37" s="167"/>
      <c r="E37" s="167"/>
      <c r="F37" s="178"/>
      <c r="H37" s="178"/>
      <c r="I37" s="180"/>
      <c r="J37" s="166"/>
      <c r="K37" s="163"/>
      <c r="L37" s="1"/>
      <c r="W37" s="1"/>
      <c r="X37" s="173"/>
      <c r="Z37" s="1"/>
      <c r="AB37" s="1"/>
    </row>
    <row r="38" spans="1:30" ht="16.5" x14ac:dyDescent="0.3">
      <c r="A38" s="1">
        <f>MAX(A35:A37)+NoOne</f>
        <v>14</v>
      </c>
      <c r="B38" s="2" t="s">
        <v>270</v>
      </c>
      <c r="C38" s="181">
        <f t="shared" ref="C38:H38" si="17">SUM(C32:C36)</f>
        <v>86673486.582866684</v>
      </c>
      <c r="D38" s="181">
        <f t="shared" si="17"/>
        <v>151643814.77626228</v>
      </c>
      <c r="E38" s="181">
        <f t="shared" si="17"/>
        <v>0</v>
      </c>
      <c r="F38" s="181">
        <f t="shared" si="17"/>
        <v>-64970328.19339557</v>
      </c>
      <c r="G38" s="181">
        <f t="shared" si="17"/>
        <v>0</v>
      </c>
      <c r="H38" s="181">
        <f t="shared" si="17"/>
        <v>86673486.582866684</v>
      </c>
      <c r="I38" s="182">
        <f>IF(D38&lt;&gt;0,C38/D38,0)</f>
        <v>0.57155965583394308</v>
      </c>
      <c r="J38" s="165"/>
      <c r="K38" s="163"/>
      <c r="L38" s="1">
        <f>MAX(L35:L37)+NoOne</f>
        <v>13</v>
      </c>
      <c r="M38" s="2" t="s">
        <v>270</v>
      </c>
      <c r="N38" s="181">
        <f t="shared" ref="N38:Q38" si="18">SUM(N32:N36)</f>
        <v>86673486.582866684</v>
      </c>
      <c r="O38" s="181">
        <f t="shared" si="18"/>
        <v>0</v>
      </c>
      <c r="P38" s="181">
        <f t="shared" si="18"/>
        <v>0</v>
      </c>
      <c r="Q38" s="181">
        <f t="shared" si="18"/>
        <v>86673486.582866684</v>
      </c>
      <c r="W38" s="1">
        <f>MAX(W35:W37)+NoOne</f>
        <v>4</v>
      </c>
      <c r="X38" s="106" t="s">
        <v>359</v>
      </c>
      <c r="Y38" s="164">
        <f>SUM(AA38,AC38)</f>
        <v>50532697.756636947</v>
      </c>
      <c r="Z38" s="177">
        <v>4.9812492941411594E-2</v>
      </c>
      <c r="AA38" s="164">
        <f>AA$44*Z38</f>
        <v>18329308.440752484</v>
      </c>
      <c r="AB38" s="177">
        <v>8.6517326939485953E-2</v>
      </c>
      <c r="AC38" s="164">
        <f>AC$44*AB38</f>
        <v>32203389.315884463</v>
      </c>
      <c r="AD38" s="177">
        <f>Y38/Y$44</f>
        <v>6.8270357014230759E-2</v>
      </c>
    </row>
    <row r="39" spans="1:30" x14ac:dyDescent="0.2">
      <c r="C39" s="170"/>
      <c r="D39" s="170"/>
      <c r="E39" s="170"/>
      <c r="F39" s="170"/>
      <c r="H39" s="170"/>
      <c r="I39" s="183"/>
      <c r="K39" s="163"/>
      <c r="L39" s="1"/>
      <c r="W39" s="1"/>
      <c r="X39" s="5"/>
      <c r="AD39" s="163"/>
    </row>
    <row r="40" spans="1:30" ht="13.5" thickBot="1" x14ac:dyDescent="0.25">
      <c r="A40" s="1">
        <f>MAX(A37:A39)+NoOne</f>
        <v>15</v>
      </c>
      <c r="B40" s="2" t="s">
        <v>15</v>
      </c>
      <c r="C40" s="184">
        <f t="shared" ref="C40:H40" si="19">SUM(C23:C29,C38)</f>
        <v>797703766.03443098</v>
      </c>
      <c r="D40" s="184">
        <f t="shared" si="19"/>
        <v>797707596.22444534</v>
      </c>
      <c r="E40" s="184">
        <f t="shared" si="19"/>
        <v>0</v>
      </c>
      <c r="F40" s="184">
        <f t="shared" si="19"/>
        <v>0</v>
      </c>
      <c r="G40" s="184">
        <f t="shared" si="19"/>
        <v>0</v>
      </c>
      <c r="H40" s="184">
        <f t="shared" si="19"/>
        <v>797707596.22444522</v>
      </c>
      <c r="I40" s="185">
        <f>IF(D40&lt;&gt;0,C40/D40,0)</f>
        <v>0.99999519850377194</v>
      </c>
      <c r="J40" s="165"/>
      <c r="K40" s="163"/>
      <c r="L40" s="1">
        <f>MAX(L37:L39)+NoOne</f>
        <v>14</v>
      </c>
      <c r="M40" s="2" t="s">
        <v>15</v>
      </c>
      <c r="N40" s="184">
        <f t="shared" ref="N40:Q40" si="20">SUM(N23:N29,N38)</f>
        <v>797707596.22444522</v>
      </c>
      <c r="O40" s="184">
        <f t="shared" si="20"/>
        <v>-501963983.38407272</v>
      </c>
      <c r="P40" s="184">
        <f t="shared" si="20"/>
        <v>0</v>
      </c>
      <c r="Q40" s="184">
        <f t="shared" si="20"/>
        <v>295743612.84037238</v>
      </c>
      <c r="W40" s="1">
        <f>MAX(W37:W38)+NoOne</f>
        <v>5</v>
      </c>
      <c r="X40" s="106" t="s">
        <v>361</v>
      </c>
      <c r="AD40" s="163"/>
    </row>
    <row r="41" spans="1:30" ht="13.5" thickTop="1" x14ac:dyDescent="0.2">
      <c r="C41" s="186"/>
      <c r="D41" s="163"/>
      <c r="H41" s="163"/>
      <c r="I41" s="166"/>
      <c r="L41" s="1"/>
      <c r="W41" s="1">
        <f>MAX(W38:W40)+NoOne</f>
        <v>6</v>
      </c>
      <c r="X41" s="106" t="s">
        <v>362</v>
      </c>
      <c r="AD41" s="163"/>
    </row>
    <row r="42" spans="1:30" ht="14.25" x14ac:dyDescent="0.2">
      <c r="A42" s="187"/>
      <c r="B42" s="183"/>
      <c r="C42" s="186"/>
      <c r="D42" s="186"/>
      <c r="H42" s="163"/>
      <c r="I42" s="166"/>
      <c r="L42" s="187">
        <v>1</v>
      </c>
      <c r="M42" s="5" t="str">
        <f>"The $"&amp;TEXT(ABS(O22),"0,000")&amp;" represents the Island Interconnected Rural rate mitigation allocation."</f>
        <v>The $32,107,596 represents the Island Interconnected Rural rate mitigation allocation.</v>
      </c>
      <c r="W42" s="1">
        <f>MAX(W39:W41)+NoOne</f>
        <v>7</v>
      </c>
      <c r="X42" s="106" t="s">
        <v>364</v>
      </c>
      <c r="AD42" s="163"/>
    </row>
    <row r="43" spans="1:30" x14ac:dyDescent="0.2">
      <c r="B43" s="169"/>
      <c r="C43" s="188"/>
      <c r="D43" s="188"/>
      <c r="E43" s="189"/>
      <c r="H43" s="163"/>
      <c r="W43" s="1"/>
    </row>
    <row r="44" spans="1:30" ht="13.5" thickBot="1" x14ac:dyDescent="0.25">
      <c r="C44" s="163"/>
      <c r="D44" s="163"/>
      <c r="E44" s="188"/>
      <c r="H44" s="163"/>
      <c r="W44" s="1">
        <f>MAX(W41:W43)+NoOne</f>
        <v>8</v>
      </c>
      <c r="X44" s="2" t="s">
        <v>15</v>
      </c>
      <c r="Y44" s="184">
        <f>SUM(Y36:Y38)</f>
        <v>740185051.99999988</v>
      </c>
      <c r="Z44" s="190">
        <f>SUM(Z36:Z42)</f>
        <v>0.99999999999999989</v>
      </c>
      <c r="AA44" s="184">
        <f>Z23</f>
        <v>367966093.61252069</v>
      </c>
      <c r="AB44" s="190">
        <f>SUM(AB36:AB42)</f>
        <v>1</v>
      </c>
      <c r="AC44" s="184">
        <f>AA23</f>
        <v>372218958.38747931</v>
      </c>
      <c r="AD44" s="190">
        <f>SUM(AD36:AD42)</f>
        <v>1</v>
      </c>
    </row>
    <row r="45" spans="1:30" ht="13.5" thickTop="1" x14ac:dyDescent="0.2">
      <c r="B45" s="191"/>
      <c r="C45" s="163"/>
      <c r="W45" s="1"/>
      <c r="AD45" s="163"/>
    </row>
    <row r="46" spans="1:30" x14ac:dyDescent="0.2">
      <c r="B46" s="191"/>
      <c r="D46" s="166"/>
      <c r="F46" s="166"/>
      <c r="H46" s="166"/>
      <c r="K46" s="166"/>
      <c r="W46" s="1"/>
    </row>
    <row r="47" spans="1:30" x14ac:dyDescent="0.2">
      <c r="D47" s="166"/>
      <c r="F47" s="166"/>
      <c r="K47" s="166"/>
      <c r="W47" s="1"/>
      <c r="X47" s="2"/>
    </row>
    <row r="48" spans="1:30" ht="20.25" customHeight="1" x14ac:dyDescent="0.2">
      <c r="D48" s="166"/>
      <c r="I48" s="151" t="s">
        <v>324</v>
      </c>
      <c r="W48" s="1"/>
    </row>
    <row r="49" spans="1:24" x14ac:dyDescent="0.2">
      <c r="I49" s="151" t="s">
        <v>372</v>
      </c>
    </row>
    <row r="50" spans="1:24" x14ac:dyDescent="0.2">
      <c r="I50" s="153"/>
      <c r="R50" s="1"/>
      <c r="W50" s="1"/>
    </row>
    <row r="51" spans="1:24" ht="14.25" x14ac:dyDescent="0.2">
      <c r="W51" s="187"/>
      <c r="X51" s="5"/>
    </row>
    <row r="52" spans="1:24" x14ac:dyDescent="0.2">
      <c r="A52" s="154" t="str">
        <f>+A6</f>
        <v>NEWFOUNDLAND AND LABRADOR HYDRO</v>
      </c>
      <c r="B52" s="154"/>
      <c r="C52" s="154"/>
      <c r="D52" s="154"/>
      <c r="E52" s="154"/>
      <c r="F52" s="154"/>
      <c r="G52" s="154"/>
      <c r="H52" s="154"/>
      <c r="I52" s="154"/>
    </row>
    <row r="53" spans="1:24" x14ac:dyDescent="0.2">
      <c r="A53" s="154" t="str">
        <f>RunName</f>
        <v>2027 Test Year Cost of Service Study</v>
      </c>
      <c r="B53" s="154"/>
      <c r="C53" s="154"/>
      <c r="D53" s="154"/>
      <c r="E53" s="154"/>
      <c r="F53" s="154"/>
      <c r="G53" s="154"/>
      <c r="H53" s="154"/>
      <c r="I53" s="154"/>
    </row>
    <row r="54" spans="1:24" x14ac:dyDescent="0.2">
      <c r="A54" s="154" t="s">
        <v>0</v>
      </c>
      <c r="B54" s="154"/>
      <c r="C54" s="154"/>
      <c r="D54" s="154"/>
      <c r="E54" s="154"/>
      <c r="F54" s="154"/>
      <c r="G54" s="154"/>
      <c r="H54" s="154"/>
      <c r="I54" s="154"/>
    </row>
    <row r="55" spans="1:24" x14ac:dyDescent="0.2">
      <c r="A55" s="154" t="s">
        <v>329</v>
      </c>
      <c r="B55" s="154"/>
      <c r="C55" s="154"/>
      <c r="D55" s="154"/>
      <c r="E55" s="154"/>
      <c r="F55" s="154"/>
      <c r="G55" s="154"/>
      <c r="H55" s="154"/>
      <c r="I55" s="154"/>
    </row>
    <row r="56" spans="1:24" x14ac:dyDescent="0.2">
      <c r="B56" s="192"/>
      <c r="C56" s="192"/>
      <c r="D56" s="192"/>
      <c r="E56" s="192"/>
      <c r="F56" s="192"/>
      <c r="H56" s="192"/>
      <c r="I56" s="192"/>
    </row>
    <row r="57" spans="1:24" x14ac:dyDescent="0.2">
      <c r="B57" s="1">
        <f t="shared" ref="B57:I57" si="21">MAX(A57)+NoOne</f>
        <v>1</v>
      </c>
      <c r="C57" s="1">
        <f t="shared" si="21"/>
        <v>2</v>
      </c>
      <c r="D57" s="1">
        <f t="shared" si="21"/>
        <v>3</v>
      </c>
      <c r="E57" s="1">
        <f t="shared" si="21"/>
        <v>4</v>
      </c>
      <c r="F57" s="1">
        <f t="shared" si="21"/>
        <v>5</v>
      </c>
      <c r="G57" s="1">
        <f t="shared" si="21"/>
        <v>6</v>
      </c>
      <c r="H57" s="1">
        <f>MAX(F57)+NoOne</f>
        <v>6</v>
      </c>
      <c r="I57" s="1">
        <f t="shared" si="21"/>
        <v>7</v>
      </c>
    </row>
    <row r="58" spans="1:24" x14ac:dyDescent="0.2">
      <c r="E58" s="1"/>
      <c r="G58" s="1"/>
      <c r="H58" s="1"/>
      <c r="I58" s="1"/>
    </row>
    <row r="59" spans="1:24" s="1" customFormat="1" x14ac:dyDescent="0.2">
      <c r="D59" s="156" t="s">
        <v>332</v>
      </c>
      <c r="G59" s="106"/>
      <c r="H59" s="156" t="s">
        <v>333</v>
      </c>
      <c r="I59" s="1" t="s">
        <v>277</v>
      </c>
    </row>
    <row r="60" spans="1:24" s="1" customFormat="1" x14ac:dyDescent="0.2">
      <c r="A60" s="1" t="s">
        <v>14</v>
      </c>
      <c r="D60" s="1" t="s">
        <v>335</v>
      </c>
      <c r="E60" s="1" t="s">
        <v>277</v>
      </c>
      <c r="F60" s="1" t="s">
        <v>346</v>
      </c>
      <c r="G60" s="156" t="s">
        <v>336</v>
      </c>
      <c r="H60" s="156" t="s">
        <v>337</v>
      </c>
      <c r="I60" s="1" t="s">
        <v>338</v>
      </c>
    </row>
    <row r="61" spans="1:24" x14ac:dyDescent="0.2">
      <c r="A61" s="1" t="s">
        <v>30</v>
      </c>
      <c r="B61" s="1" t="s">
        <v>342</v>
      </c>
      <c r="C61" s="1" t="s">
        <v>343</v>
      </c>
      <c r="D61" s="1" t="s">
        <v>344</v>
      </c>
      <c r="E61" s="1" t="s">
        <v>373</v>
      </c>
      <c r="F61" s="1" t="s">
        <v>374</v>
      </c>
      <c r="G61" s="1" t="s">
        <v>347</v>
      </c>
      <c r="H61" s="1" t="s">
        <v>344</v>
      </c>
      <c r="I61" s="1" t="s">
        <v>348</v>
      </c>
    </row>
    <row r="62" spans="1:24" x14ac:dyDescent="0.2">
      <c r="B62" s="1"/>
      <c r="C62" s="1"/>
      <c r="D62" s="1"/>
      <c r="E62" s="1"/>
      <c r="F62" s="1"/>
      <c r="H62" s="161" t="s">
        <v>352</v>
      </c>
      <c r="I62" s="1" t="s">
        <v>353</v>
      </c>
    </row>
    <row r="63" spans="1:24" x14ac:dyDescent="0.2">
      <c r="B63" s="1"/>
      <c r="C63" s="1" t="s">
        <v>37</v>
      </c>
      <c r="D63" s="1" t="s">
        <v>37</v>
      </c>
      <c r="E63" s="1" t="s">
        <v>37</v>
      </c>
      <c r="F63" s="1" t="s">
        <v>37</v>
      </c>
      <c r="G63" s="1" t="s">
        <v>37</v>
      </c>
      <c r="H63" s="1" t="s">
        <v>37</v>
      </c>
      <c r="I63" s="1"/>
    </row>
    <row r="64" spans="1:24" x14ac:dyDescent="0.2">
      <c r="H64" s="163"/>
    </row>
    <row r="65" spans="1:18" x14ac:dyDescent="0.2">
      <c r="B65" s="2" t="s">
        <v>0</v>
      </c>
      <c r="H65" s="163"/>
    </row>
    <row r="66" spans="1:18" x14ac:dyDescent="0.2">
      <c r="A66" s="1">
        <f>MAX(A63:A65)+NoOne</f>
        <v>1</v>
      </c>
      <c r="B66" s="173" t="s">
        <v>224</v>
      </c>
      <c r="C66" s="163">
        <v>636811717.27999985</v>
      </c>
      <c r="D66" s="163">
        <v>574037013.76257324</v>
      </c>
      <c r="E66" s="163">
        <f>(D66/($D$66+$D$70+$D$87))*-$E$95</f>
        <v>0</v>
      </c>
      <c r="F66" s="163">
        <f>+C320-D273</f>
        <v>62778787.672969401</v>
      </c>
      <c r="G66" s="163">
        <f>-G67</f>
        <v>0</v>
      </c>
      <c r="H66" s="163">
        <f>SUM(D66:G66)</f>
        <v>636815801.43554258</v>
      </c>
      <c r="I66" s="193"/>
      <c r="J66" s="165"/>
    </row>
    <row r="67" spans="1:18" ht="15" x14ac:dyDescent="0.25">
      <c r="A67" s="1">
        <f>MAX(A64:A66)+NoOne</f>
        <v>2</v>
      </c>
      <c r="B67" s="106" t="s">
        <v>375</v>
      </c>
      <c r="C67" s="194">
        <v>0</v>
      </c>
      <c r="D67" s="195"/>
      <c r="E67" s="195"/>
      <c r="F67" s="195"/>
      <c r="G67" s="163"/>
      <c r="H67" s="195">
        <f>SUM(D67:G67)</f>
        <v>0</v>
      </c>
      <c r="I67" s="196"/>
    </row>
    <row r="68" spans="1:18" ht="20.25" customHeight="1" x14ac:dyDescent="0.2">
      <c r="A68" s="1">
        <f>MAX(A65:A67)+NoOne</f>
        <v>3</v>
      </c>
      <c r="B68" s="174" t="s">
        <v>357</v>
      </c>
      <c r="C68" s="171">
        <f t="shared" ref="C68:H68" si="22">SUM(C66:C67)</f>
        <v>636811717.27999985</v>
      </c>
      <c r="D68" s="171">
        <f t="shared" si="22"/>
        <v>574037013.76257324</v>
      </c>
      <c r="E68" s="171">
        <f t="shared" si="22"/>
        <v>0</v>
      </c>
      <c r="F68" s="171">
        <f t="shared" si="22"/>
        <v>62778787.672969401</v>
      </c>
      <c r="G68" s="171">
        <f t="shared" si="22"/>
        <v>0</v>
      </c>
      <c r="H68" s="171">
        <f t="shared" si="22"/>
        <v>636815801.43554258</v>
      </c>
      <c r="I68" s="172">
        <f>IF(D68&lt;&gt;0,C68/D68,0)</f>
        <v>1.1093565432409396</v>
      </c>
    </row>
    <row r="69" spans="1:18" ht="20.25" customHeight="1" x14ac:dyDescent="0.2">
      <c r="B69" s="2"/>
      <c r="C69" s="197"/>
      <c r="D69" s="197"/>
      <c r="E69" s="197"/>
      <c r="F69" s="197"/>
      <c r="H69" s="197"/>
      <c r="I69" s="198"/>
    </row>
    <row r="70" spans="1:18" x14ac:dyDescent="0.2">
      <c r="A70" s="1">
        <f>MAX(A67:A69)+NoOne</f>
        <v>4</v>
      </c>
      <c r="B70" s="106" t="s">
        <v>227</v>
      </c>
      <c r="C70" s="163">
        <v>42815528.620000005</v>
      </c>
      <c r="D70" s="163">
        <v>42815547.883037768</v>
      </c>
      <c r="E70" s="163">
        <f>(D70/($D$66+$D$70+$D$87))*-$E$95</f>
        <v>0</v>
      </c>
      <c r="F70" s="163"/>
      <c r="H70" s="163">
        <f>SUM(D70:F70)</f>
        <v>42815547.883037768</v>
      </c>
      <c r="I70" s="193"/>
      <c r="J70" s="165"/>
    </row>
    <row r="71" spans="1:18" x14ac:dyDescent="0.2">
      <c r="A71" s="1">
        <f>MAX(A68:A70)+NoOne</f>
        <v>5</v>
      </c>
      <c r="B71" s="106" t="s">
        <v>229</v>
      </c>
      <c r="C71" s="163">
        <v>0</v>
      </c>
      <c r="D71" s="163">
        <v>0</v>
      </c>
      <c r="E71" s="163">
        <f>+E95</f>
        <v>0</v>
      </c>
      <c r="F71" s="163"/>
      <c r="H71" s="163">
        <f>+C71</f>
        <v>0</v>
      </c>
      <c r="I71" s="193"/>
    </row>
    <row r="72" spans="1:18" ht="15" x14ac:dyDescent="0.25">
      <c r="A72" s="1">
        <f>MAX(A69:A71)+NoOne</f>
        <v>6</v>
      </c>
      <c r="B72" s="106" t="s">
        <v>376</v>
      </c>
      <c r="C72" s="194">
        <v>0</v>
      </c>
      <c r="D72" s="163"/>
      <c r="E72" s="163"/>
      <c r="F72" s="163"/>
      <c r="H72" s="163">
        <f>SUM(D72:F72)</f>
        <v>0</v>
      </c>
      <c r="I72" s="193"/>
    </row>
    <row r="73" spans="1:18" x14ac:dyDescent="0.2">
      <c r="A73" s="1">
        <f>MAX(A70:A72)+NoOne</f>
        <v>7</v>
      </c>
      <c r="B73" s="174" t="s">
        <v>300</v>
      </c>
      <c r="C73" s="171">
        <f>SUM(C70:C72)</f>
        <v>42815528.620000005</v>
      </c>
      <c r="D73" s="171">
        <f>SUM(D70:D72)</f>
        <v>42815547.883037768</v>
      </c>
      <c r="E73" s="171">
        <f>SUM(E70:E72)</f>
        <v>0</v>
      </c>
      <c r="F73" s="171">
        <f>SUM(F70:F72)</f>
        <v>0</v>
      </c>
      <c r="G73" s="171"/>
      <c r="H73" s="171">
        <f>SUM(H70:H72)</f>
        <v>42815547.883037768</v>
      </c>
      <c r="I73" s="172">
        <f>IF(D73&lt;&gt;0,C73/D73,0)</f>
        <v>0.99999955009246133</v>
      </c>
    </row>
    <row r="74" spans="1:18" x14ac:dyDescent="0.2">
      <c r="B74" s="2"/>
      <c r="C74" s="197"/>
      <c r="D74" s="197"/>
      <c r="E74" s="197"/>
      <c r="F74" s="197"/>
      <c r="G74" s="197"/>
      <c r="H74" s="197"/>
      <c r="I74" s="198"/>
    </row>
    <row r="75" spans="1:18" ht="15" x14ac:dyDescent="0.25">
      <c r="A75" s="1">
        <f>MAX(A72:A74)+NoOne</f>
        <v>8</v>
      </c>
      <c r="B75" s="2" t="s">
        <v>360</v>
      </c>
      <c r="C75" s="199">
        <v>0</v>
      </c>
      <c r="D75" s="200"/>
      <c r="E75" s="200"/>
      <c r="F75" s="200"/>
      <c r="G75" s="200"/>
      <c r="H75" s="200"/>
      <c r="I75" s="201"/>
    </row>
    <row r="76" spans="1:18" x14ac:dyDescent="0.2">
      <c r="B76" s="2"/>
      <c r="C76" s="197"/>
      <c r="D76" s="197"/>
      <c r="E76" s="197"/>
      <c r="F76" s="197"/>
      <c r="H76" s="197"/>
      <c r="I76" s="198"/>
    </row>
    <row r="77" spans="1:18" x14ac:dyDescent="0.2">
      <c r="B77" s="2" t="s">
        <v>230</v>
      </c>
      <c r="C77" s="163"/>
      <c r="D77" s="163"/>
      <c r="E77" s="163"/>
      <c r="F77" s="163"/>
      <c r="H77" s="163"/>
    </row>
    <row r="78" spans="1:18" ht="15" x14ac:dyDescent="0.25">
      <c r="A78" s="1">
        <f t="shared" ref="A78" si="23">MAX(A75:A77)+NoOne</f>
        <v>9</v>
      </c>
      <c r="B78" s="106" t="s">
        <v>232</v>
      </c>
      <c r="C78" s="202">
        <v>18788947.558794092</v>
      </c>
      <c r="D78" s="164">
        <v>28157866.627418503</v>
      </c>
      <c r="E78" s="164">
        <f t="shared" ref="E78:E85" si="24">(D78/($D$66+$D$70+$D$87))*-$E$95</f>
        <v>0</v>
      </c>
      <c r="F78" s="164">
        <f>C78-D78-E78</f>
        <v>-9368919.0686244108</v>
      </c>
      <c r="G78" s="164"/>
      <c r="H78" s="164">
        <f t="shared" ref="H78:H85" si="25">SUM(D78:F78)</f>
        <v>18788947.558794092</v>
      </c>
      <c r="I78" s="203">
        <f>IF(D78&lt;&gt;0,C78/D78,0)</f>
        <v>0.66727170092135113</v>
      </c>
      <c r="K78" s="106" t="s">
        <v>231</v>
      </c>
      <c r="R78" s="1"/>
    </row>
    <row r="79" spans="1:18" ht="15" x14ac:dyDescent="0.25">
      <c r="A79" s="1">
        <f t="shared" ref="A79" si="26">MAX(A76:A78)+NoOne</f>
        <v>10</v>
      </c>
      <c r="B79" s="106" t="s">
        <v>234</v>
      </c>
      <c r="C79" s="202">
        <v>23929645.322584182</v>
      </c>
      <c r="D79" s="164">
        <v>31353542.569406476</v>
      </c>
      <c r="E79" s="164">
        <f t="shared" si="24"/>
        <v>0</v>
      </c>
      <c r="F79" s="164">
        <f t="shared" ref="F79:F85" si="27">C79-D79-E79</f>
        <v>-7423897.2468222938</v>
      </c>
      <c r="G79" s="164"/>
      <c r="H79" s="164">
        <f t="shared" si="25"/>
        <v>23929645.322584182</v>
      </c>
      <c r="I79" s="203">
        <f t="shared" ref="I79:I85" si="28">IF(D79&lt;&gt;0,C79/D79,0)</f>
        <v>0.76321982658297016</v>
      </c>
      <c r="K79" s="106" t="s">
        <v>233</v>
      </c>
    </row>
    <row r="80" spans="1:18" ht="15" x14ac:dyDescent="0.25">
      <c r="A80" s="1">
        <f t="shared" ref="A80" si="29">MAX(A77:A79)+NoOne</f>
        <v>11</v>
      </c>
      <c r="B80" s="106" t="s">
        <v>236</v>
      </c>
      <c r="C80" s="202">
        <v>21703.949999999997</v>
      </c>
      <c r="D80" s="164">
        <v>86780.054105246702</v>
      </c>
      <c r="E80" s="164">
        <f t="shared" si="24"/>
        <v>0</v>
      </c>
      <c r="F80" s="164">
        <f t="shared" si="27"/>
        <v>-65076.104105246704</v>
      </c>
      <c r="G80" s="164"/>
      <c r="H80" s="164">
        <f t="shared" si="25"/>
        <v>21703.949999999997</v>
      </c>
      <c r="I80" s="203">
        <f t="shared" si="28"/>
        <v>0.25010297842955342</v>
      </c>
      <c r="K80" s="106" t="s">
        <v>235</v>
      </c>
    </row>
    <row r="81" spans="1:11" ht="15" x14ac:dyDescent="0.25">
      <c r="A81" s="1">
        <f t="shared" ref="A81" si="30">MAX(A78:A80)+NoOne</f>
        <v>12</v>
      </c>
      <c r="B81" s="5" t="s">
        <v>377</v>
      </c>
      <c r="C81" s="202">
        <v>12084583.400972759</v>
      </c>
      <c r="D81" s="164">
        <v>13595526.704859242</v>
      </c>
      <c r="E81" s="164">
        <f t="shared" si="24"/>
        <v>0</v>
      </c>
      <c r="F81" s="164">
        <f t="shared" si="27"/>
        <v>-1510943.3038864825</v>
      </c>
      <c r="G81" s="164"/>
      <c r="H81" s="164">
        <f t="shared" si="25"/>
        <v>12084583.400972759</v>
      </c>
      <c r="I81" s="203">
        <f t="shared" si="28"/>
        <v>0.88886467316147089</v>
      </c>
      <c r="K81" s="106" t="s">
        <v>237</v>
      </c>
    </row>
    <row r="82" spans="1:11" ht="14.45" hidden="1" customHeight="1" x14ac:dyDescent="0.25">
      <c r="A82" s="1">
        <f t="shared" ref="A82" si="31">MAX(A79:A81)+NoOne</f>
        <v>13</v>
      </c>
      <c r="B82" s="106" t="s">
        <v>378</v>
      </c>
      <c r="C82" s="202">
        <v>0</v>
      </c>
      <c r="D82" s="164">
        <v>0</v>
      </c>
      <c r="E82" s="164">
        <f t="shared" si="24"/>
        <v>0</v>
      </c>
      <c r="F82" s="164">
        <f t="shared" si="27"/>
        <v>0</v>
      </c>
      <c r="G82" s="164"/>
      <c r="H82" s="164">
        <f t="shared" si="25"/>
        <v>0</v>
      </c>
      <c r="I82" s="203">
        <f t="shared" si="28"/>
        <v>0</v>
      </c>
      <c r="K82" s="106" t="s">
        <v>239</v>
      </c>
    </row>
    <row r="83" spans="1:11" ht="15" x14ac:dyDescent="0.25">
      <c r="A83" s="1">
        <f>MAX(A80:A81)+NoOne</f>
        <v>13</v>
      </c>
      <c r="B83" s="106" t="s">
        <v>379</v>
      </c>
      <c r="C83" s="202">
        <v>7645700.2165019428</v>
      </c>
      <c r="D83" s="164">
        <v>7883735.56166902</v>
      </c>
      <c r="E83" s="164">
        <f t="shared" si="24"/>
        <v>0</v>
      </c>
      <c r="F83" s="164">
        <f t="shared" si="27"/>
        <v>-238035.34516707715</v>
      </c>
      <c r="G83" s="164"/>
      <c r="H83" s="164">
        <f t="shared" si="25"/>
        <v>7645700.2165019428</v>
      </c>
      <c r="I83" s="203">
        <f t="shared" si="28"/>
        <v>0.96980678216499128</v>
      </c>
      <c r="K83" s="106" t="s">
        <v>241</v>
      </c>
    </row>
    <row r="84" spans="1:11" ht="15" x14ac:dyDescent="0.25">
      <c r="A84" s="1">
        <f t="shared" ref="A84" si="32">MAX(A81:A83)+NoOne</f>
        <v>14</v>
      </c>
      <c r="B84" s="106" t="s">
        <v>380</v>
      </c>
      <c r="C84" s="202">
        <v>5260869.3307651561</v>
      </c>
      <c r="D84" s="164">
        <v>4783801.5014610933</v>
      </c>
      <c r="E84" s="164">
        <f t="shared" si="24"/>
        <v>0</v>
      </c>
      <c r="F84" s="164">
        <f t="shared" si="27"/>
        <v>477067.82930406276</v>
      </c>
      <c r="G84" s="164"/>
      <c r="H84" s="164">
        <f t="shared" si="25"/>
        <v>5260869.3307651561</v>
      </c>
      <c r="I84" s="203">
        <f t="shared" si="28"/>
        <v>1.0997256740603376</v>
      </c>
      <c r="K84" s="106" t="s">
        <v>243</v>
      </c>
    </row>
    <row r="85" spans="1:11" ht="15" x14ac:dyDescent="0.25">
      <c r="A85" s="1">
        <f t="shared" ref="A85" si="33">MAX(A82:A84)+NoOne</f>
        <v>15</v>
      </c>
      <c r="B85" s="106" t="s">
        <v>246</v>
      </c>
      <c r="C85" s="202">
        <v>1177608.1732799991</v>
      </c>
      <c r="D85" s="164">
        <v>1454176.1955217286</v>
      </c>
      <c r="E85" s="164">
        <f t="shared" si="24"/>
        <v>0</v>
      </c>
      <c r="F85" s="164">
        <f t="shared" si="27"/>
        <v>-276568.02224172954</v>
      </c>
      <c r="G85" s="164"/>
      <c r="H85" s="164">
        <f t="shared" si="25"/>
        <v>1177608.1732799991</v>
      </c>
      <c r="I85" s="203">
        <f t="shared" si="28"/>
        <v>0.80981120231960435</v>
      </c>
      <c r="K85" s="106" t="s">
        <v>245</v>
      </c>
    </row>
    <row r="86" spans="1:11" x14ac:dyDescent="0.2">
      <c r="B86" s="163"/>
      <c r="C86" s="163"/>
      <c r="D86" s="163"/>
      <c r="E86" s="163"/>
      <c r="F86" s="163"/>
      <c r="H86" s="163"/>
      <c r="I86" s="204"/>
    </row>
    <row r="87" spans="1:11" x14ac:dyDescent="0.2">
      <c r="A87" s="1">
        <f>MAX(A84:A86)+NoOne</f>
        <v>16</v>
      </c>
      <c r="B87" s="2" t="s">
        <v>381</v>
      </c>
      <c r="C87" s="181">
        <f>SUM(C78:C85)</f>
        <v>68909057.952898145</v>
      </c>
      <c r="D87" s="181">
        <f>SUM(D78:D85)</f>
        <v>87315429.214441314</v>
      </c>
      <c r="E87" s="181">
        <f>SUM(E78:E85)</f>
        <v>0</v>
      </c>
      <c r="F87" s="181">
        <f>SUM(F78:F85)</f>
        <v>-18406371.261543181</v>
      </c>
      <c r="G87" s="181"/>
      <c r="H87" s="181">
        <f>SUM(H78:H85)</f>
        <v>68909057.952898145</v>
      </c>
      <c r="I87" s="182">
        <f>IF(D87&lt;&gt;0,C87/D87,0)</f>
        <v>0.78919680717209495</v>
      </c>
      <c r="J87" s="165"/>
    </row>
    <row r="88" spans="1:11" ht="13.5" thickBot="1" x14ac:dyDescent="0.25">
      <c r="A88" s="1">
        <f>MAX(A85:A87)+NoOne</f>
        <v>17</v>
      </c>
      <c r="B88" s="2" t="s">
        <v>382</v>
      </c>
      <c r="C88" s="205">
        <f>SUM(C87,C73,C68,C75)</f>
        <v>748536303.852898</v>
      </c>
      <c r="D88" s="205">
        <f>SUM(D87,D73,D68,D75)</f>
        <v>704167990.86005235</v>
      </c>
      <c r="E88" s="205">
        <f>SUM(E87,E73,E68,E75)</f>
        <v>0</v>
      </c>
      <c r="F88" s="205">
        <f>SUM(F87,F73,F68,F75)</f>
        <v>44372416.411426216</v>
      </c>
      <c r="G88" s="205"/>
      <c r="H88" s="205">
        <f>SUM(H87,H73,H68,H75)</f>
        <v>748540407.27147853</v>
      </c>
      <c r="I88" s="185">
        <f>IF(D88&lt;&gt;0,C88/D88,0)</f>
        <v>1.0630081366502548</v>
      </c>
    </row>
    <row r="89" spans="1:11" ht="13.5" thickTop="1" x14ac:dyDescent="0.2">
      <c r="H89" s="163"/>
    </row>
    <row r="90" spans="1:11" ht="15" x14ac:dyDescent="0.25">
      <c r="C90" s="206"/>
      <c r="D90" s="164"/>
      <c r="H90" s="163"/>
    </row>
    <row r="91" spans="1:11" x14ac:dyDescent="0.2">
      <c r="H91" s="163"/>
    </row>
    <row r="92" spans="1:11" x14ac:dyDescent="0.2">
      <c r="B92" s="173"/>
    </row>
    <row r="93" spans="1:11" x14ac:dyDescent="0.2">
      <c r="B93" s="191"/>
      <c r="E93" s="163"/>
    </row>
    <row r="94" spans="1:11" hidden="1" x14ac:dyDescent="0.2">
      <c r="B94" s="191"/>
    </row>
    <row r="95" spans="1:11" hidden="1" x14ac:dyDescent="0.2">
      <c r="B95" s="207"/>
    </row>
    <row r="96" spans="1:11" hidden="1" x14ac:dyDescent="0.2"/>
    <row r="97" spans="1:18" x14ac:dyDescent="0.2">
      <c r="I97" s="151" t="s">
        <v>324</v>
      </c>
    </row>
    <row r="98" spans="1:18" x14ac:dyDescent="0.2">
      <c r="I98" s="151" t="s">
        <v>383</v>
      </c>
    </row>
    <row r="99" spans="1:18" x14ac:dyDescent="0.2">
      <c r="I99" s="153"/>
    </row>
    <row r="101" spans="1:18" x14ac:dyDescent="0.2">
      <c r="A101" s="154" t="str">
        <f>+A6</f>
        <v>NEWFOUNDLAND AND LABRADOR HYDRO</v>
      </c>
      <c r="B101" s="154"/>
      <c r="C101" s="154"/>
      <c r="D101" s="154"/>
      <c r="E101" s="154"/>
      <c r="F101" s="154"/>
      <c r="G101" s="154"/>
      <c r="H101" s="154"/>
      <c r="I101" s="154"/>
    </row>
    <row r="102" spans="1:18" x14ac:dyDescent="0.2">
      <c r="A102" s="154" t="str">
        <f>RunName</f>
        <v>2027 Test Year Cost of Service Study</v>
      </c>
      <c r="B102" s="154"/>
      <c r="C102" s="154"/>
      <c r="D102" s="154"/>
      <c r="E102" s="154"/>
      <c r="F102" s="154"/>
      <c r="G102" s="154"/>
      <c r="H102" s="154"/>
      <c r="I102" s="154"/>
    </row>
    <row r="103" spans="1:18" x14ac:dyDescent="0.2">
      <c r="A103" s="154" t="s">
        <v>368</v>
      </c>
      <c r="B103" s="154"/>
      <c r="C103" s="154"/>
      <c r="D103" s="154"/>
      <c r="E103" s="154"/>
      <c r="F103" s="154"/>
      <c r="G103" s="154"/>
      <c r="H103" s="154"/>
      <c r="I103" s="154"/>
    </row>
    <row r="104" spans="1:18" x14ac:dyDescent="0.2">
      <c r="A104" s="154" t="s">
        <v>329</v>
      </c>
      <c r="B104" s="154"/>
      <c r="C104" s="154"/>
      <c r="D104" s="154"/>
      <c r="E104" s="154"/>
      <c r="F104" s="154"/>
      <c r="G104" s="154"/>
      <c r="H104" s="154"/>
      <c r="I104" s="154"/>
      <c r="R104" s="1"/>
    </row>
    <row r="105" spans="1:18" s="1" customFormat="1" x14ac:dyDescent="0.2"/>
    <row r="106" spans="1:18" s="1" customFormat="1" x14ac:dyDescent="0.2">
      <c r="B106" s="1">
        <f t="shared" ref="B106:I106" si="34">MAX(A106)+NoOne</f>
        <v>1</v>
      </c>
      <c r="C106" s="1">
        <f t="shared" si="34"/>
        <v>2</v>
      </c>
      <c r="D106" s="1">
        <f t="shared" si="34"/>
        <v>3</v>
      </c>
      <c r="E106" s="1">
        <f t="shared" si="34"/>
        <v>4</v>
      </c>
      <c r="F106" s="1">
        <f t="shared" si="34"/>
        <v>5</v>
      </c>
      <c r="G106" s="1">
        <f t="shared" si="34"/>
        <v>6</v>
      </c>
      <c r="H106" s="1">
        <f>MAX(F106)+NoOne</f>
        <v>6</v>
      </c>
      <c r="I106" s="1">
        <f t="shared" si="34"/>
        <v>7</v>
      </c>
    </row>
    <row r="107" spans="1:18" s="1" customFormat="1" x14ac:dyDescent="0.2"/>
    <row r="108" spans="1:18" x14ac:dyDescent="0.2">
      <c r="B108" s="1"/>
      <c r="C108" s="1"/>
      <c r="D108" s="156" t="s">
        <v>332</v>
      </c>
      <c r="E108" s="1"/>
      <c r="F108" s="1"/>
      <c r="H108" s="156" t="s">
        <v>333</v>
      </c>
      <c r="I108" s="1" t="s">
        <v>277</v>
      </c>
    </row>
    <row r="109" spans="1:18" x14ac:dyDescent="0.2">
      <c r="A109" s="1" t="s">
        <v>14</v>
      </c>
      <c r="B109" s="1"/>
      <c r="C109" s="1"/>
      <c r="D109" s="1" t="s">
        <v>335</v>
      </c>
      <c r="E109" s="1" t="s">
        <v>277</v>
      </c>
      <c r="F109" s="1"/>
      <c r="G109" s="156" t="s">
        <v>336</v>
      </c>
      <c r="H109" s="156" t="s">
        <v>337</v>
      </c>
      <c r="I109" s="1" t="s">
        <v>338</v>
      </c>
    </row>
    <row r="110" spans="1:18" x14ac:dyDescent="0.2">
      <c r="A110" s="1" t="s">
        <v>30</v>
      </c>
      <c r="B110" s="1" t="s">
        <v>342</v>
      </c>
      <c r="C110" s="1" t="s">
        <v>343</v>
      </c>
      <c r="D110" s="1" t="s">
        <v>344</v>
      </c>
      <c r="E110" s="1" t="s">
        <v>373</v>
      </c>
      <c r="F110" s="1" t="s">
        <v>346</v>
      </c>
      <c r="G110" s="1" t="s">
        <v>347</v>
      </c>
      <c r="H110" s="1" t="s">
        <v>344</v>
      </c>
      <c r="I110" s="1" t="s">
        <v>348</v>
      </c>
    </row>
    <row r="111" spans="1:18" x14ac:dyDescent="0.2">
      <c r="B111" s="1"/>
      <c r="C111" s="1"/>
      <c r="D111" s="1"/>
      <c r="E111" s="1"/>
      <c r="F111" s="1"/>
      <c r="H111" s="161" t="s">
        <v>352</v>
      </c>
      <c r="I111" s="12" t="s">
        <v>353</v>
      </c>
    </row>
    <row r="112" spans="1:18" x14ac:dyDescent="0.2">
      <c r="B112" s="1"/>
      <c r="C112" s="1" t="s">
        <v>37</v>
      </c>
      <c r="D112" s="1" t="s">
        <v>37</v>
      </c>
      <c r="E112" s="1" t="s">
        <v>37</v>
      </c>
      <c r="F112" s="1" t="s">
        <v>37</v>
      </c>
      <c r="G112" s="1" t="s">
        <v>37</v>
      </c>
      <c r="H112" s="1" t="s">
        <v>37</v>
      </c>
      <c r="I112" s="1"/>
    </row>
    <row r="115" spans="1:12" x14ac:dyDescent="0.2">
      <c r="B115" s="2" t="s">
        <v>368</v>
      </c>
    </row>
    <row r="116" spans="1:12" ht="15" x14ac:dyDescent="0.25">
      <c r="A116" s="1">
        <f t="shared" ref="A116" si="35">MAX(A113:A115)+NoOne</f>
        <v>1</v>
      </c>
      <c r="B116" s="5" t="s">
        <v>384</v>
      </c>
      <c r="C116" s="202">
        <v>809510.05334059661</v>
      </c>
      <c r="D116" s="164">
        <v>7704844.263737564</v>
      </c>
      <c r="E116" s="164"/>
      <c r="F116" s="164">
        <f>C116-D116</f>
        <v>-6895334.2103969678</v>
      </c>
      <c r="G116" s="164"/>
      <c r="H116" s="164">
        <f t="shared" ref="H116:H126" si="36">SUM(D116,F116)</f>
        <v>809510.05334059615</v>
      </c>
      <c r="I116" s="203">
        <f>IF(D116&lt;&gt;0,C116/D116,0)</f>
        <v>0.10506507667526938</v>
      </c>
      <c r="K116" s="208" t="s">
        <v>385</v>
      </c>
      <c r="L116" s="208"/>
    </row>
    <row r="117" spans="1:12" ht="15" x14ac:dyDescent="0.25">
      <c r="A117" s="1">
        <f t="shared" ref="A117" si="37">MAX(A114:A116)+NoOne</f>
        <v>2</v>
      </c>
      <c r="B117" s="5" t="s">
        <v>386</v>
      </c>
      <c r="C117" s="202">
        <v>0</v>
      </c>
      <c r="D117" s="164">
        <v>55464.455893001636</v>
      </c>
      <c r="E117" s="164"/>
      <c r="F117" s="164">
        <f t="shared" ref="F117:F126" si="38">C117-D117</f>
        <v>-55464.455893001636</v>
      </c>
      <c r="G117" s="164"/>
      <c r="H117" s="164">
        <f t="shared" si="36"/>
        <v>0</v>
      </c>
      <c r="I117" s="203">
        <f t="shared" ref="I117:I126" si="39">IF(D117&lt;&gt;0,C117/D117,0)</f>
        <v>0</v>
      </c>
      <c r="K117" s="208" t="s">
        <v>387</v>
      </c>
      <c r="L117" s="208"/>
    </row>
    <row r="118" spans="1:12" ht="15" x14ac:dyDescent="0.25">
      <c r="A118" s="1">
        <f t="shared" ref="A118" si="40">MAX(A115:A117)+NoOne</f>
        <v>3</v>
      </c>
      <c r="B118" s="209" t="s">
        <v>388</v>
      </c>
      <c r="C118" s="202">
        <v>54842.660460796527</v>
      </c>
      <c r="D118" s="164">
        <v>367318.76345747465</v>
      </c>
      <c r="E118" s="164"/>
      <c r="F118" s="164">
        <f t="shared" si="38"/>
        <v>-312476.10299667809</v>
      </c>
      <c r="G118" s="164"/>
      <c r="H118" s="164">
        <f t="shared" si="36"/>
        <v>54842.660460796556</v>
      </c>
      <c r="I118" s="203">
        <f t="shared" si="39"/>
        <v>0.14930536067522668</v>
      </c>
      <c r="K118" s="208" t="s">
        <v>389</v>
      </c>
      <c r="L118" s="208"/>
    </row>
    <row r="119" spans="1:12" ht="15" x14ac:dyDescent="0.25">
      <c r="A119" s="1">
        <f t="shared" ref="A119" si="41">MAX(A116:A118)+NoOne</f>
        <v>4</v>
      </c>
      <c r="B119" s="106" t="s">
        <v>390</v>
      </c>
      <c r="C119" s="202">
        <v>285054.36288423219</v>
      </c>
      <c r="D119" s="202">
        <v>823424.74077321135</v>
      </c>
      <c r="E119" s="164"/>
      <c r="F119" s="164">
        <f t="shared" si="38"/>
        <v>-538370.37788897916</v>
      </c>
      <c r="G119" s="164"/>
      <c r="H119" s="164">
        <f t="shared" si="36"/>
        <v>285054.36288423219</v>
      </c>
      <c r="I119" s="203">
        <f t="shared" si="39"/>
        <v>0.3461814404757389</v>
      </c>
      <c r="K119" s="208" t="s">
        <v>391</v>
      </c>
      <c r="L119" s="208"/>
    </row>
    <row r="120" spans="1:12" ht="15" x14ac:dyDescent="0.25">
      <c r="A120" s="1">
        <f t="shared" ref="A120" si="42">MAX(A117:A119)+NoOne</f>
        <v>5</v>
      </c>
      <c r="B120" s="5" t="s">
        <v>240</v>
      </c>
      <c r="C120" s="202">
        <v>535299.34273159155</v>
      </c>
      <c r="D120" s="202">
        <v>1290296.0560981249</v>
      </c>
      <c r="E120" s="164"/>
      <c r="F120" s="164">
        <f t="shared" si="38"/>
        <v>-754996.7133665334</v>
      </c>
      <c r="G120" s="164"/>
      <c r="H120" s="164">
        <f t="shared" si="36"/>
        <v>535299.34273159155</v>
      </c>
      <c r="I120" s="203">
        <f t="shared" si="39"/>
        <v>0.4148655188099582</v>
      </c>
      <c r="K120" s="208" t="s">
        <v>392</v>
      </c>
      <c r="L120" s="208"/>
    </row>
    <row r="121" spans="1:12" ht="15" x14ac:dyDescent="0.25">
      <c r="A121" s="1">
        <f t="shared" ref="A121" si="43">MAX(A118:A120)+NoOne</f>
        <v>6</v>
      </c>
      <c r="B121" s="5" t="s">
        <v>242</v>
      </c>
      <c r="C121" s="202">
        <v>0</v>
      </c>
      <c r="D121" s="164">
        <v>0</v>
      </c>
      <c r="E121" s="164"/>
      <c r="F121" s="164">
        <f t="shared" si="38"/>
        <v>0</v>
      </c>
      <c r="G121" s="164"/>
      <c r="H121" s="164">
        <f t="shared" si="36"/>
        <v>0</v>
      </c>
      <c r="I121" s="203">
        <f t="shared" si="39"/>
        <v>0</v>
      </c>
      <c r="K121" s="208" t="s">
        <v>393</v>
      </c>
      <c r="L121" s="208"/>
    </row>
    <row r="122" spans="1:12" ht="15" x14ac:dyDescent="0.25">
      <c r="A122" s="1">
        <f t="shared" ref="A122" si="44">MAX(A119:A121)+NoOne</f>
        <v>7</v>
      </c>
      <c r="B122" s="106" t="s">
        <v>380</v>
      </c>
      <c r="C122" s="202">
        <v>0</v>
      </c>
      <c r="D122" s="164">
        <v>0</v>
      </c>
      <c r="E122" s="164"/>
      <c r="F122" s="164">
        <f t="shared" si="38"/>
        <v>0</v>
      </c>
      <c r="G122" s="164"/>
      <c r="H122" s="164">
        <f t="shared" si="36"/>
        <v>0</v>
      </c>
      <c r="I122" s="203">
        <f t="shared" si="39"/>
        <v>0</v>
      </c>
      <c r="K122" s="208" t="s">
        <v>394</v>
      </c>
      <c r="L122" s="208"/>
    </row>
    <row r="123" spans="1:12" ht="15" hidden="1" x14ac:dyDescent="0.25">
      <c r="A123" s="1">
        <f t="shared" ref="A123" si="45">MAX(A120:A122)+NoOne</f>
        <v>8</v>
      </c>
      <c r="B123" s="5" t="s">
        <v>395</v>
      </c>
      <c r="C123" s="202">
        <v>0</v>
      </c>
      <c r="D123" s="164">
        <v>0</v>
      </c>
      <c r="E123" s="164"/>
      <c r="F123" s="164">
        <f t="shared" si="38"/>
        <v>0</v>
      </c>
      <c r="G123" s="164"/>
      <c r="H123" s="164">
        <f t="shared" si="36"/>
        <v>0</v>
      </c>
      <c r="I123" s="203">
        <f t="shared" si="39"/>
        <v>0</v>
      </c>
      <c r="K123" s="208" t="s">
        <v>396</v>
      </c>
      <c r="L123" s="208"/>
    </row>
    <row r="124" spans="1:12" ht="15" hidden="1" x14ac:dyDescent="0.25">
      <c r="A124" s="1">
        <f t="shared" ref="A124" si="46">MAX(A121:A123)+NoOne</f>
        <v>9</v>
      </c>
      <c r="B124" s="5" t="s">
        <v>397</v>
      </c>
      <c r="C124" s="202">
        <v>0</v>
      </c>
      <c r="D124" s="164">
        <v>0</v>
      </c>
      <c r="E124" s="164"/>
      <c r="F124" s="164">
        <f t="shared" si="38"/>
        <v>0</v>
      </c>
      <c r="G124" s="164"/>
      <c r="H124" s="164">
        <f t="shared" si="36"/>
        <v>0</v>
      </c>
      <c r="I124" s="203">
        <f t="shared" si="39"/>
        <v>0</v>
      </c>
      <c r="K124" s="208" t="s">
        <v>398</v>
      </c>
      <c r="L124" s="208"/>
    </row>
    <row r="125" spans="1:12" ht="15" x14ac:dyDescent="0.25">
      <c r="A125" s="1">
        <v>8</v>
      </c>
      <c r="B125" s="5" t="s">
        <v>246</v>
      </c>
      <c r="C125" s="202">
        <v>26858.520479999981</v>
      </c>
      <c r="D125" s="202">
        <v>163053.22773518122</v>
      </c>
      <c r="E125" s="164"/>
      <c r="F125" s="164">
        <f t="shared" si="38"/>
        <v>-136194.70725518125</v>
      </c>
      <c r="G125" s="164"/>
      <c r="H125" s="164">
        <f t="shared" si="36"/>
        <v>26858.520479999977</v>
      </c>
      <c r="I125" s="203">
        <f t="shared" si="39"/>
        <v>0.16472240907503879</v>
      </c>
      <c r="K125" s="208" t="s">
        <v>399</v>
      </c>
      <c r="L125" s="208"/>
    </row>
    <row r="126" spans="1:12" ht="15" x14ac:dyDescent="0.25">
      <c r="A126" s="1">
        <v>9</v>
      </c>
      <c r="B126" s="209" t="s">
        <v>400</v>
      </c>
      <c r="C126" s="202">
        <v>6384</v>
      </c>
      <c r="D126" s="164">
        <v>0</v>
      </c>
      <c r="E126" s="164"/>
      <c r="F126" s="164">
        <f t="shared" si="38"/>
        <v>6384</v>
      </c>
      <c r="G126" s="164"/>
      <c r="H126" s="164">
        <f t="shared" si="36"/>
        <v>6384</v>
      </c>
      <c r="I126" s="203">
        <f t="shared" si="39"/>
        <v>0</v>
      </c>
      <c r="K126" s="208" t="s">
        <v>401</v>
      </c>
      <c r="L126" s="208"/>
    </row>
    <row r="127" spans="1:12" x14ac:dyDescent="0.2">
      <c r="B127" s="5"/>
      <c r="C127" s="186"/>
      <c r="D127" s="186"/>
      <c r="E127" s="186"/>
      <c r="F127" s="193"/>
      <c r="H127" s="186"/>
      <c r="I127" s="204"/>
    </row>
    <row r="128" spans="1:12" ht="17.25" thickBot="1" x14ac:dyDescent="0.35">
      <c r="A128" s="1">
        <f>MAX(A125:A127)+NoOne</f>
        <v>10</v>
      </c>
      <c r="B128" s="20" t="s">
        <v>248</v>
      </c>
      <c r="C128" s="210">
        <f>SUM(C116:C126)</f>
        <v>1717948.9398972169</v>
      </c>
      <c r="D128" s="210">
        <f>SUM(D116:D126)</f>
        <v>10404401.507694557</v>
      </c>
      <c r="E128" s="210"/>
      <c r="F128" s="210">
        <f>SUM(F116:F126)</f>
        <v>-8686452.5677973405</v>
      </c>
      <c r="G128" s="210"/>
      <c r="H128" s="210">
        <f>SUM(H116:H126)</f>
        <v>1717948.9398972164</v>
      </c>
      <c r="I128" s="211">
        <f>IF(D128&lt;&gt;0,C128/D128,0)</f>
        <v>0.16511751671893002</v>
      </c>
    </row>
    <row r="129" spans="1:18" ht="13.5" thickTop="1" x14ac:dyDescent="0.2">
      <c r="I129" s="204"/>
    </row>
    <row r="132" spans="1:18" x14ac:dyDescent="0.2">
      <c r="R132" s="1"/>
    </row>
    <row r="135" spans="1:18" x14ac:dyDescent="0.2">
      <c r="I135" s="151" t="s">
        <v>324</v>
      </c>
    </row>
    <row r="136" spans="1:18" x14ac:dyDescent="0.2">
      <c r="I136" s="151" t="s">
        <v>402</v>
      </c>
    </row>
    <row r="137" spans="1:18" x14ac:dyDescent="0.2">
      <c r="I137" s="153"/>
    </row>
    <row r="139" spans="1:18" x14ac:dyDescent="0.2">
      <c r="A139" s="154" t="str">
        <f>+A6</f>
        <v>NEWFOUNDLAND AND LABRADOR HYDRO</v>
      </c>
      <c r="B139" s="154"/>
      <c r="C139" s="154"/>
      <c r="D139" s="154"/>
      <c r="E139" s="154"/>
      <c r="F139" s="154"/>
      <c r="G139" s="154"/>
      <c r="H139" s="154"/>
      <c r="I139" s="154"/>
    </row>
    <row r="140" spans="1:18" x14ac:dyDescent="0.2">
      <c r="A140" s="154" t="str">
        <f>RunName</f>
        <v>2027 Test Year Cost of Service Study</v>
      </c>
      <c r="B140" s="154"/>
      <c r="C140" s="154"/>
      <c r="D140" s="154"/>
      <c r="E140" s="154"/>
      <c r="F140" s="154"/>
      <c r="G140" s="154"/>
      <c r="H140" s="154"/>
      <c r="I140" s="154"/>
    </row>
    <row r="141" spans="1:18" x14ac:dyDescent="0.2">
      <c r="A141" s="154" t="s">
        <v>369</v>
      </c>
      <c r="B141" s="154"/>
      <c r="C141" s="154"/>
      <c r="D141" s="154"/>
      <c r="E141" s="154"/>
      <c r="F141" s="154"/>
      <c r="G141" s="154"/>
      <c r="H141" s="154"/>
      <c r="I141" s="154"/>
    </row>
    <row r="142" spans="1:18" x14ac:dyDescent="0.2">
      <c r="A142" s="154" t="s">
        <v>329</v>
      </c>
      <c r="B142" s="154"/>
      <c r="C142" s="154"/>
      <c r="D142" s="154"/>
      <c r="E142" s="154"/>
      <c r="F142" s="154"/>
      <c r="G142" s="154"/>
      <c r="H142" s="154"/>
      <c r="I142" s="154"/>
    </row>
    <row r="143" spans="1:18" s="1" customFormat="1" x14ac:dyDescent="0.2"/>
    <row r="144" spans="1:18" s="1" customFormat="1" x14ac:dyDescent="0.2">
      <c r="B144" s="1">
        <f t="shared" ref="B144:I144" si="47">MAX(A144)+NoOne</f>
        <v>1</v>
      </c>
      <c r="C144" s="1">
        <f t="shared" si="47"/>
        <v>2</v>
      </c>
      <c r="D144" s="1">
        <f t="shared" si="47"/>
        <v>3</v>
      </c>
      <c r="E144" s="1">
        <f t="shared" si="47"/>
        <v>4</v>
      </c>
      <c r="F144" s="1">
        <f t="shared" si="47"/>
        <v>5</v>
      </c>
      <c r="G144" s="1">
        <f t="shared" si="47"/>
        <v>6</v>
      </c>
      <c r="H144" s="1">
        <f>MAX(F144)+NoOne</f>
        <v>6</v>
      </c>
      <c r="I144" s="1">
        <f t="shared" si="47"/>
        <v>7</v>
      </c>
    </row>
    <row r="145" spans="1:18" s="1" customFormat="1" x14ac:dyDescent="0.2"/>
    <row r="146" spans="1:18" x14ac:dyDescent="0.2">
      <c r="B146" s="1"/>
      <c r="C146" s="1"/>
      <c r="D146" s="156" t="s">
        <v>332</v>
      </c>
      <c r="E146" s="1"/>
      <c r="F146" s="1"/>
      <c r="H146" s="156" t="s">
        <v>333</v>
      </c>
      <c r="I146" s="1" t="s">
        <v>277</v>
      </c>
    </row>
    <row r="147" spans="1:18" x14ac:dyDescent="0.2">
      <c r="A147" s="1" t="s">
        <v>14</v>
      </c>
      <c r="B147" s="1"/>
      <c r="C147" s="1"/>
      <c r="D147" s="1" t="s">
        <v>335</v>
      </c>
      <c r="E147" s="1" t="s">
        <v>277</v>
      </c>
      <c r="F147" s="1"/>
      <c r="G147" s="156" t="s">
        <v>336</v>
      </c>
      <c r="H147" s="156" t="s">
        <v>337</v>
      </c>
      <c r="I147" s="1" t="s">
        <v>338</v>
      </c>
    </row>
    <row r="148" spans="1:18" x14ac:dyDescent="0.2">
      <c r="A148" s="1" t="s">
        <v>30</v>
      </c>
      <c r="B148" s="1" t="s">
        <v>342</v>
      </c>
      <c r="C148" s="1" t="s">
        <v>343</v>
      </c>
      <c r="D148" s="1" t="s">
        <v>344</v>
      </c>
      <c r="E148" s="1" t="s">
        <v>373</v>
      </c>
      <c r="F148" s="1" t="s">
        <v>346</v>
      </c>
      <c r="G148" s="1" t="s">
        <v>347</v>
      </c>
      <c r="H148" s="1" t="s">
        <v>344</v>
      </c>
      <c r="I148" s="1" t="s">
        <v>348</v>
      </c>
    </row>
    <row r="149" spans="1:18" x14ac:dyDescent="0.2">
      <c r="B149" s="1"/>
      <c r="C149" s="1"/>
      <c r="D149" s="1"/>
      <c r="E149" s="1"/>
      <c r="F149" s="1"/>
      <c r="H149" s="161" t="s">
        <v>352</v>
      </c>
      <c r="I149" s="12" t="s">
        <v>353</v>
      </c>
    </row>
    <row r="150" spans="1:18" x14ac:dyDescent="0.2">
      <c r="B150" s="1"/>
      <c r="C150" s="1" t="s">
        <v>37</v>
      </c>
      <c r="D150" s="1" t="s">
        <v>37</v>
      </c>
      <c r="E150" s="1" t="s">
        <v>37</v>
      </c>
      <c r="F150" s="1" t="s">
        <v>37</v>
      </c>
      <c r="G150" s="1" t="s">
        <v>37</v>
      </c>
      <c r="H150" s="1" t="s">
        <v>37</v>
      </c>
      <c r="I150" s="1"/>
    </row>
    <row r="153" spans="1:18" x14ac:dyDescent="0.2">
      <c r="B153" s="2" t="s">
        <v>369</v>
      </c>
    </row>
    <row r="154" spans="1:18" ht="15" x14ac:dyDescent="0.25">
      <c r="A154" s="1">
        <f t="shared" ref="A154" si="48">MAX(A151:A153)+NoOne</f>
        <v>1</v>
      </c>
      <c r="B154" s="5" t="s">
        <v>384</v>
      </c>
      <c r="C154" s="202">
        <v>4669502.3740669573</v>
      </c>
      <c r="D154" s="164">
        <v>25171515.047610119</v>
      </c>
      <c r="E154" s="164"/>
      <c r="F154" s="164">
        <f>C154-D154</f>
        <v>-20502012.673543163</v>
      </c>
      <c r="G154" s="164"/>
      <c r="H154" s="164">
        <f t="shared" ref="H154:H164" si="49">SUM(D154,F154)</f>
        <v>4669502.3740669563</v>
      </c>
      <c r="I154" s="203">
        <f>IF(D154&lt;&gt;0,C154/D154,0)</f>
        <v>0.18550740252364339</v>
      </c>
      <c r="K154" s="106" t="s">
        <v>403</v>
      </c>
    </row>
    <row r="155" spans="1:18" ht="15" x14ac:dyDescent="0.25">
      <c r="A155" s="1">
        <f t="shared" ref="A155" si="50">MAX(A152:A154)+NoOne</f>
        <v>2</v>
      </c>
      <c r="B155" s="5" t="s">
        <v>386</v>
      </c>
      <c r="C155" s="202">
        <v>945103.9988196888</v>
      </c>
      <c r="D155" s="164">
        <v>894392.75602439465</v>
      </c>
      <c r="E155" s="164"/>
      <c r="F155" s="164">
        <f t="shared" ref="F155:F163" si="51">C155-D155</f>
        <v>50711.242795294151</v>
      </c>
      <c r="G155" s="164"/>
      <c r="H155" s="164">
        <f t="shared" si="49"/>
        <v>945103.9988196888</v>
      </c>
      <c r="I155" s="203">
        <f t="shared" ref="I155:I164" si="52">IF(D155&lt;&gt;0,C155/D155,0)</f>
        <v>1.0566990759414323</v>
      </c>
      <c r="K155" s="106" t="s">
        <v>404</v>
      </c>
    </row>
    <row r="156" spans="1:18" ht="15" x14ac:dyDescent="0.25">
      <c r="A156" s="1">
        <f t="shared" ref="A156" si="53">MAX(A153:A155)+NoOne</f>
        <v>3</v>
      </c>
      <c r="B156" s="209" t="s">
        <v>388</v>
      </c>
      <c r="C156" s="202">
        <v>328741.89270779031</v>
      </c>
      <c r="D156" s="164">
        <v>1337649.2549823974</v>
      </c>
      <c r="E156" s="164"/>
      <c r="F156" s="164">
        <f t="shared" si="51"/>
        <v>-1008907.3622746072</v>
      </c>
      <c r="G156" s="164"/>
      <c r="H156" s="164">
        <f t="shared" si="49"/>
        <v>328741.89270779025</v>
      </c>
      <c r="I156" s="203">
        <f t="shared" si="52"/>
        <v>0.24576090592007718</v>
      </c>
      <c r="K156" s="106" t="s">
        <v>405</v>
      </c>
    </row>
    <row r="157" spans="1:18" ht="15" x14ac:dyDescent="0.25">
      <c r="A157" s="1">
        <f t="shared" ref="A157" si="54">MAX(A154:A156)+NoOne</f>
        <v>4</v>
      </c>
      <c r="B157" s="106" t="s">
        <v>390</v>
      </c>
      <c r="C157" s="202">
        <v>1505529.9763934463</v>
      </c>
      <c r="D157" s="164">
        <v>3692362.2730602482</v>
      </c>
      <c r="E157" s="164"/>
      <c r="F157" s="164">
        <f t="shared" si="51"/>
        <v>-2186832.2966668019</v>
      </c>
      <c r="G157" s="164"/>
      <c r="H157" s="164">
        <f t="shared" si="49"/>
        <v>1505529.9763934463</v>
      </c>
      <c r="I157" s="203">
        <f t="shared" si="52"/>
        <v>0.40774167458537475</v>
      </c>
      <c r="K157" s="106" t="s">
        <v>406</v>
      </c>
    </row>
    <row r="158" spans="1:18" ht="15" x14ac:dyDescent="0.25">
      <c r="A158" s="1">
        <f t="shared" ref="A158" si="55">MAX(A155:A157)+NoOne</f>
        <v>5</v>
      </c>
      <c r="B158" s="5" t="s">
        <v>240</v>
      </c>
      <c r="C158" s="202">
        <v>3760678.8175117802</v>
      </c>
      <c r="D158" s="164">
        <v>9555598.3239415344</v>
      </c>
      <c r="E158" s="164"/>
      <c r="F158" s="164">
        <f t="shared" si="51"/>
        <v>-5794919.5064297542</v>
      </c>
      <c r="G158" s="164"/>
      <c r="H158" s="164">
        <f t="shared" si="49"/>
        <v>3760678.8175117802</v>
      </c>
      <c r="I158" s="203">
        <f t="shared" si="52"/>
        <v>0.39355764966484685</v>
      </c>
      <c r="K158" s="106" t="s">
        <v>407</v>
      </c>
    </row>
    <row r="159" spans="1:18" ht="15" x14ac:dyDescent="0.25">
      <c r="A159" s="1">
        <f t="shared" ref="A159" si="56">MAX(A156:A158)+NoOne</f>
        <v>6</v>
      </c>
      <c r="B159" s="5" t="s">
        <v>242</v>
      </c>
      <c r="C159" s="202">
        <v>364087.48779334419</v>
      </c>
      <c r="D159" s="164">
        <v>1830406.5511158232</v>
      </c>
      <c r="E159" s="164"/>
      <c r="F159" s="164">
        <f t="shared" si="51"/>
        <v>-1466319.0633224789</v>
      </c>
      <c r="G159" s="164"/>
      <c r="H159" s="164">
        <f t="shared" si="49"/>
        <v>364087.48779334431</v>
      </c>
      <c r="I159" s="203">
        <f t="shared" si="52"/>
        <v>0.19891072153964648</v>
      </c>
      <c r="K159" s="106" t="s">
        <v>408</v>
      </c>
    </row>
    <row r="160" spans="1:18" ht="15" x14ac:dyDescent="0.25">
      <c r="A160" s="1">
        <f t="shared" ref="A160" si="57">MAX(A157:A159)+NoOne</f>
        <v>7</v>
      </c>
      <c r="B160" s="106" t="s">
        <v>380</v>
      </c>
      <c r="C160" s="202">
        <v>245159.76993788074</v>
      </c>
      <c r="D160" s="164">
        <v>1373674.8775542325</v>
      </c>
      <c r="E160" s="164"/>
      <c r="F160" s="164">
        <f t="shared" si="51"/>
        <v>-1128515.1076163517</v>
      </c>
      <c r="G160" s="164"/>
      <c r="H160" s="164">
        <f t="shared" si="49"/>
        <v>245159.7699378808</v>
      </c>
      <c r="I160" s="203">
        <f t="shared" si="52"/>
        <v>0.17847001058531178</v>
      </c>
      <c r="K160" s="106" t="s">
        <v>409</v>
      </c>
      <c r="R160" s="1"/>
    </row>
    <row r="161" spans="1:11" ht="15" hidden="1" x14ac:dyDescent="0.25">
      <c r="A161" s="1">
        <f t="shared" ref="A161" si="58">MAX(A158:A160)+NoOne</f>
        <v>8</v>
      </c>
      <c r="B161" s="5" t="s">
        <v>395</v>
      </c>
      <c r="C161" s="202">
        <v>0</v>
      </c>
      <c r="D161" s="164">
        <v>0</v>
      </c>
      <c r="E161" s="164"/>
      <c r="F161" s="164">
        <f t="shared" si="51"/>
        <v>0</v>
      </c>
      <c r="G161" s="164"/>
      <c r="H161" s="164">
        <f t="shared" si="49"/>
        <v>0</v>
      </c>
      <c r="I161" s="203">
        <f t="shared" si="52"/>
        <v>0</v>
      </c>
      <c r="K161" s="106" t="s">
        <v>410</v>
      </c>
    </row>
    <row r="162" spans="1:11" ht="15" hidden="1" x14ac:dyDescent="0.25">
      <c r="A162" s="1">
        <f t="shared" ref="A162" si="59">MAX(A159:A161)+NoOne</f>
        <v>9</v>
      </c>
      <c r="B162" s="5" t="s">
        <v>397</v>
      </c>
      <c r="C162" s="202">
        <v>0</v>
      </c>
      <c r="D162" s="164">
        <v>0</v>
      </c>
      <c r="E162" s="164"/>
      <c r="F162" s="164">
        <f t="shared" si="51"/>
        <v>0</v>
      </c>
      <c r="G162" s="164"/>
      <c r="H162" s="164">
        <f t="shared" si="49"/>
        <v>0</v>
      </c>
      <c r="I162" s="203">
        <f t="shared" si="52"/>
        <v>0</v>
      </c>
      <c r="K162" s="106" t="s">
        <v>411</v>
      </c>
    </row>
    <row r="163" spans="1:11" ht="15" x14ac:dyDescent="0.25">
      <c r="A163" s="1">
        <v>8</v>
      </c>
      <c r="B163" s="5" t="s">
        <v>246</v>
      </c>
      <c r="C163" s="202">
        <v>144154.86624000021</v>
      </c>
      <c r="D163" s="164">
        <v>309889.10472647514</v>
      </c>
      <c r="E163" s="164"/>
      <c r="F163" s="164">
        <f t="shared" si="51"/>
        <v>-165734.23848647493</v>
      </c>
      <c r="G163" s="164"/>
      <c r="H163" s="164">
        <f t="shared" si="49"/>
        <v>144154.86624000021</v>
      </c>
      <c r="I163" s="203">
        <f t="shared" si="52"/>
        <v>0.46518210560270934</v>
      </c>
      <c r="K163" s="106" t="s">
        <v>412</v>
      </c>
    </row>
    <row r="164" spans="1:11" ht="15" x14ac:dyDescent="0.25">
      <c r="A164" s="1">
        <v>9</v>
      </c>
      <c r="B164" s="209" t="s">
        <v>400</v>
      </c>
      <c r="C164" s="202">
        <v>6384</v>
      </c>
      <c r="D164" s="164">
        <v>0</v>
      </c>
      <c r="E164" s="164"/>
      <c r="F164" s="164">
        <f>C164-D164</f>
        <v>6384</v>
      </c>
      <c r="G164" s="164"/>
      <c r="H164" s="164">
        <f t="shared" si="49"/>
        <v>6384</v>
      </c>
      <c r="I164" s="203">
        <f t="shared" si="52"/>
        <v>0</v>
      </c>
      <c r="K164" s="106" t="s">
        <v>413</v>
      </c>
    </row>
    <row r="165" spans="1:11" x14ac:dyDescent="0.2">
      <c r="B165" s="5"/>
      <c r="C165" s="186"/>
      <c r="D165" s="186"/>
      <c r="E165" s="186"/>
      <c r="F165" s="193"/>
      <c r="H165" s="186"/>
      <c r="I165" s="204"/>
    </row>
    <row r="166" spans="1:11" ht="17.25" thickBot="1" x14ac:dyDescent="0.35">
      <c r="A166" s="1">
        <f>MAX(A163:A165)+NoOne</f>
        <v>10</v>
      </c>
      <c r="B166" s="20" t="s">
        <v>248</v>
      </c>
      <c r="C166" s="210">
        <f>SUM(C154:C164)</f>
        <v>11969343.183470888</v>
      </c>
      <c r="D166" s="210">
        <f>SUM(D154:D164)</f>
        <v>44165488.189015225</v>
      </c>
      <c r="E166" s="210"/>
      <c r="F166" s="210">
        <f t="shared" ref="F166" si="60">C166-D166</f>
        <v>-32196145.005544335</v>
      </c>
      <c r="G166" s="210"/>
      <c r="H166" s="210">
        <f>SUM(H154:H164)</f>
        <v>11969343.183470888</v>
      </c>
      <c r="I166" s="211">
        <f>IF(D166&lt;&gt;0,C166/D166,0)</f>
        <v>0.27101122786746157</v>
      </c>
    </row>
    <row r="167" spans="1:11" ht="13.5" thickTop="1" x14ac:dyDescent="0.2"/>
    <row r="173" spans="1:11" x14ac:dyDescent="0.2">
      <c r="I173" s="151" t="s">
        <v>324</v>
      </c>
    </row>
    <row r="174" spans="1:11" x14ac:dyDescent="0.2">
      <c r="I174" s="151" t="s">
        <v>414</v>
      </c>
    </row>
    <row r="175" spans="1:11" x14ac:dyDescent="0.2">
      <c r="I175" s="153"/>
    </row>
    <row r="177" spans="1:18" x14ac:dyDescent="0.2">
      <c r="A177" s="154" t="str">
        <f>+A6</f>
        <v>NEWFOUNDLAND AND LABRADOR HYDRO</v>
      </c>
      <c r="B177" s="154"/>
      <c r="C177" s="154"/>
      <c r="D177" s="154"/>
      <c r="E177" s="154"/>
      <c r="F177" s="154"/>
      <c r="G177" s="154"/>
      <c r="H177" s="154"/>
      <c r="I177" s="154"/>
    </row>
    <row r="178" spans="1:18" x14ac:dyDescent="0.2">
      <c r="A178" s="154" t="str">
        <f>RunName</f>
        <v>2027 Test Year Cost of Service Study</v>
      </c>
      <c r="B178" s="154"/>
      <c r="C178" s="154"/>
      <c r="D178" s="154"/>
      <c r="E178" s="154"/>
      <c r="F178" s="154"/>
      <c r="G178" s="154"/>
      <c r="H178" s="154"/>
      <c r="I178" s="154"/>
    </row>
    <row r="179" spans="1:18" x14ac:dyDescent="0.2">
      <c r="A179" s="154" t="s">
        <v>370</v>
      </c>
      <c r="B179" s="154"/>
      <c r="C179" s="154"/>
      <c r="D179" s="154"/>
      <c r="E179" s="154"/>
      <c r="F179" s="154"/>
      <c r="G179" s="154"/>
      <c r="H179" s="154"/>
      <c r="I179" s="154"/>
    </row>
    <row r="180" spans="1:18" x14ac:dyDescent="0.2">
      <c r="A180" s="154" t="s">
        <v>329</v>
      </c>
      <c r="B180" s="154"/>
      <c r="C180" s="154"/>
      <c r="D180" s="154"/>
      <c r="E180" s="154"/>
      <c r="F180" s="154"/>
      <c r="G180" s="154"/>
      <c r="H180" s="154"/>
      <c r="I180" s="154"/>
    </row>
    <row r="181" spans="1:18" s="1" customFormat="1" x14ac:dyDescent="0.2"/>
    <row r="182" spans="1:18" s="1" customFormat="1" x14ac:dyDescent="0.2">
      <c r="B182" s="1">
        <f t="shared" ref="B182:I182" si="61">MAX(A182)+NoOne</f>
        <v>1</v>
      </c>
      <c r="C182" s="1">
        <f t="shared" si="61"/>
        <v>2</v>
      </c>
      <c r="D182" s="1">
        <f t="shared" si="61"/>
        <v>3</v>
      </c>
      <c r="E182" s="1">
        <f t="shared" si="61"/>
        <v>4</v>
      </c>
      <c r="F182" s="1">
        <f t="shared" si="61"/>
        <v>5</v>
      </c>
      <c r="G182" s="1">
        <f t="shared" si="61"/>
        <v>6</v>
      </c>
      <c r="H182" s="1">
        <f>MAX(F182)+NoOne</f>
        <v>6</v>
      </c>
      <c r="I182" s="1">
        <f t="shared" si="61"/>
        <v>7</v>
      </c>
    </row>
    <row r="183" spans="1:18" s="1" customFormat="1" x14ac:dyDescent="0.2"/>
    <row r="184" spans="1:18" x14ac:dyDescent="0.2">
      <c r="B184" s="1"/>
      <c r="C184" s="1"/>
      <c r="D184" s="156" t="s">
        <v>332</v>
      </c>
      <c r="E184" s="1"/>
      <c r="F184" s="1"/>
      <c r="H184" s="156" t="s">
        <v>333</v>
      </c>
      <c r="I184" s="1" t="s">
        <v>277</v>
      </c>
    </row>
    <row r="185" spans="1:18" x14ac:dyDescent="0.2">
      <c r="A185" s="1" t="s">
        <v>14</v>
      </c>
      <c r="B185" s="1"/>
      <c r="C185" s="1"/>
      <c r="D185" s="1" t="s">
        <v>335</v>
      </c>
      <c r="E185" s="1" t="s">
        <v>277</v>
      </c>
      <c r="F185" s="1"/>
      <c r="G185" s="156" t="s">
        <v>336</v>
      </c>
      <c r="H185" s="156" t="s">
        <v>337</v>
      </c>
      <c r="I185" s="1" t="s">
        <v>338</v>
      </c>
    </row>
    <row r="186" spans="1:18" ht="13.5" customHeight="1" x14ac:dyDescent="0.2">
      <c r="A186" s="1" t="s">
        <v>30</v>
      </c>
      <c r="B186" s="1" t="s">
        <v>342</v>
      </c>
      <c r="C186" s="1" t="s">
        <v>343</v>
      </c>
      <c r="D186" s="1" t="s">
        <v>344</v>
      </c>
      <c r="E186" s="1" t="s">
        <v>373</v>
      </c>
      <c r="F186" s="1" t="s">
        <v>346</v>
      </c>
      <c r="G186" s="1" t="s">
        <v>347</v>
      </c>
      <c r="H186" s="1" t="s">
        <v>344</v>
      </c>
      <c r="I186" s="1" t="s">
        <v>348</v>
      </c>
    </row>
    <row r="187" spans="1:18" ht="13.5" customHeight="1" x14ac:dyDescent="0.2">
      <c r="B187" s="1"/>
      <c r="C187" s="1"/>
      <c r="D187" s="1"/>
      <c r="E187" s="1"/>
      <c r="F187" s="1"/>
      <c r="H187" s="161" t="s">
        <v>352</v>
      </c>
      <c r="I187" s="12" t="s">
        <v>353</v>
      </c>
    </row>
    <row r="188" spans="1:18" ht="13.5" customHeight="1" x14ac:dyDescent="0.2">
      <c r="C188" s="1" t="s">
        <v>37</v>
      </c>
      <c r="D188" s="1" t="s">
        <v>37</v>
      </c>
      <c r="E188" s="1" t="s">
        <v>37</v>
      </c>
      <c r="F188" s="1" t="s">
        <v>37</v>
      </c>
      <c r="G188" s="1" t="s">
        <v>37</v>
      </c>
      <c r="H188" s="1" t="s">
        <v>37</v>
      </c>
      <c r="R188" s="1"/>
    </row>
    <row r="190" spans="1:18" x14ac:dyDescent="0.2">
      <c r="B190" s="2" t="s">
        <v>370</v>
      </c>
    </row>
    <row r="191" spans="1:18" ht="15" x14ac:dyDescent="0.25">
      <c r="A191" s="1">
        <f t="shared" ref="A191" si="62">MAX(A188:A190)+NoOne</f>
        <v>1</v>
      </c>
      <c r="B191" s="106" t="s">
        <v>232</v>
      </c>
      <c r="C191" s="202">
        <v>828511.29480396374</v>
      </c>
      <c r="D191" s="164">
        <v>2224303.689135131</v>
      </c>
      <c r="E191" s="164"/>
      <c r="F191" s="164">
        <f>C191-D191</f>
        <v>-1395792.3943311672</v>
      </c>
      <c r="G191" s="164"/>
      <c r="H191" s="164">
        <f t="shared" ref="H191:H196" si="63">SUM(D191,F191)</f>
        <v>828511.29480396374</v>
      </c>
      <c r="I191" s="203">
        <f t="shared" ref="I191:I196" si="64">IF(D191&lt;&gt;0,C191/D191,0)</f>
        <v>0.37248119438497679</v>
      </c>
      <c r="K191" s="106" t="s">
        <v>415</v>
      </c>
    </row>
    <row r="192" spans="1:18" ht="15" x14ac:dyDescent="0.25">
      <c r="A192" s="1">
        <f t="shared" ref="A192" si="65">MAX(A189:A191)+NoOne</f>
        <v>2</v>
      </c>
      <c r="B192" s="106" t="s">
        <v>234</v>
      </c>
      <c r="C192" s="202">
        <v>1782546.8304509185</v>
      </c>
      <c r="D192" s="164">
        <v>4421636.5928514004</v>
      </c>
      <c r="E192" s="164"/>
      <c r="F192" s="164">
        <f t="shared" ref="F192:F198" si="66">C192-D192</f>
        <v>-2639089.7624004818</v>
      </c>
      <c r="G192" s="164"/>
      <c r="H192" s="164">
        <f t="shared" si="63"/>
        <v>1782546.8304509185</v>
      </c>
      <c r="I192" s="203">
        <f t="shared" si="64"/>
        <v>0.40314186682207631</v>
      </c>
      <c r="K192" s="106" t="s">
        <v>416</v>
      </c>
    </row>
    <row r="193" spans="1:11" ht="15" x14ac:dyDescent="0.25">
      <c r="A193" s="1">
        <f t="shared" ref="A193" si="67">MAX(A190:A192)+NoOne</f>
        <v>3</v>
      </c>
      <c r="B193" s="5" t="s">
        <v>377</v>
      </c>
      <c r="C193" s="202">
        <v>1046117.9889364933</v>
      </c>
      <c r="D193" s="164">
        <v>2332949.6198429321</v>
      </c>
      <c r="E193" s="164"/>
      <c r="F193" s="164">
        <f t="shared" si="66"/>
        <v>-1286831.6309064389</v>
      </c>
      <c r="G193" s="164"/>
      <c r="H193" s="164">
        <f t="shared" si="63"/>
        <v>1046117.9889364932</v>
      </c>
      <c r="I193" s="203">
        <f t="shared" si="64"/>
        <v>0.44841002139039937</v>
      </c>
      <c r="K193" s="106" t="s">
        <v>417</v>
      </c>
    </row>
    <row r="194" spans="1:11" ht="15" x14ac:dyDescent="0.25">
      <c r="A194" s="1">
        <f t="shared" ref="A194" si="68">MAX(A191:A193)+NoOne</f>
        <v>4</v>
      </c>
      <c r="B194" s="106" t="s">
        <v>378</v>
      </c>
      <c r="C194" s="202">
        <v>0</v>
      </c>
      <c r="D194" s="164">
        <v>0</v>
      </c>
      <c r="E194" s="164"/>
      <c r="F194" s="164">
        <f t="shared" si="66"/>
        <v>0</v>
      </c>
      <c r="G194" s="164"/>
      <c r="H194" s="164">
        <f t="shared" si="63"/>
        <v>0</v>
      </c>
      <c r="I194" s="203">
        <f t="shared" si="64"/>
        <v>0</v>
      </c>
      <c r="K194" s="106" t="s">
        <v>418</v>
      </c>
    </row>
    <row r="195" spans="1:11" ht="15" x14ac:dyDescent="0.25">
      <c r="A195" s="1">
        <f t="shared" ref="A195" si="69">MAX(A192:A194)+NoOne</f>
        <v>5</v>
      </c>
      <c r="B195" s="106" t="s">
        <v>379</v>
      </c>
      <c r="C195" s="202">
        <v>354037.29560906265</v>
      </c>
      <c r="D195" s="164">
        <v>690869.19849230337</v>
      </c>
      <c r="E195" s="164"/>
      <c r="F195" s="164">
        <f t="shared" si="66"/>
        <v>-336831.90288324072</v>
      </c>
      <c r="G195" s="164"/>
      <c r="H195" s="164">
        <f t="shared" si="63"/>
        <v>354037.29560906265</v>
      </c>
      <c r="I195" s="203">
        <f t="shared" si="64"/>
        <v>0.51245199001733588</v>
      </c>
      <c r="K195" s="106" t="s">
        <v>419</v>
      </c>
    </row>
    <row r="196" spans="1:11" ht="15" x14ac:dyDescent="0.25">
      <c r="A196" s="1">
        <f t="shared" ref="A196" si="70">MAX(A193:A195)+NoOne</f>
        <v>6</v>
      </c>
      <c r="B196" s="106" t="s">
        <v>246</v>
      </c>
      <c r="C196" s="202">
        <v>65923.096800000043</v>
      </c>
      <c r="D196" s="164">
        <v>88736.764789395194</v>
      </c>
      <c r="E196" s="212"/>
      <c r="F196" s="212">
        <f t="shared" si="66"/>
        <v>-22813.667989395151</v>
      </c>
      <c r="G196" s="164"/>
      <c r="H196" s="212">
        <f t="shared" si="63"/>
        <v>65923.096800000043</v>
      </c>
      <c r="I196" s="203">
        <f t="shared" si="64"/>
        <v>0.74290624586618259</v>
      </c>
      <c r="K196" s="106" t="s">
        <v>420</v>
      </c>
    </row>
    <row r="197" spans="1:11" x14ac:dyDescent="0.2">
      <c r="C197" s="186"/>
      <c r="D197" s="186"/>
      <c r="E197" s="186"/>
      <c r="F197" s="193"/>
      <c r="H197" s="186"/>
      <c r="I197" s="204"/>
    </row>
    <row r="198" spans="1:11" ht="13.5" thickBot="1" x14ac:dyDescent="0.25">
      <c r="A198" s="1">
        <f>MAX(A195:A197)+NoOne</f>
        <v>7</v>
      </c>
      <c r="B198" s="2" t="s">
        <v>421</v>
      </c>
      <c r="C198" s="210">
        <f>SUM(C191:C196)</f>
        <v>4077136.5066004382</v>
      </c>
      <c r="D198" s="210">
        <f>SUM(D191:D196)</f>
        <v>9758495.865111161</v>
      </c>
      <c r="E198" s="210"/>
      <c r="F198" s="210">
        <f t="shared" si="66"/>
        <v>-5681359.3585107233</v>
      </c>
      <c r="G198" s="210"/>
      <c r="H198" s="213">
        <f>SUM(H191:H196)</f>
        <v>4077136.5066004382</v>
      </c>
      <c r="I198" s="211">
        <f>IF(D198&lt;&gt;0,C198/D198,0)</f>
        <v>0.41780378482068403</v>
      </c>
    </row>
    <row r="199" spans="1:11" ht="13.5" thickTop="1" x14ac:dyDescent="0.2"/>
    <row r="205" spans="1:11" x14ac:dyDescent="0.2">
      <c r="I205" s="151" t="s">
        <v>324</v>
      </c>
    </row>
    <row r="206" spans="1:11" x14ac:dyDescent="0.2">
      <c r="I206" s="151" t="s">
        <v>422</v>
      </c>
    </row>
    <row r="207" spans="1:11" x14ac:dyDescent="0.2">
      <c r="I207" s="153"/>
    </row>
    <row r="208" spans="1:11" x14ac:dyDescent="0.2">
      <c r="A208" s="154" t="str">
        <f>+A6</f>
        <v>NEWFOUNDLAND AND LABRADOR HYDRO</v>
      </c>
      <c r="B208" s="154"/>
      <c r="C208" s="154"/>
      <c r="D208" s="154"/>
      <c r="E208" s="154"/>
      <c r="F208" s="154"/>
      <c r="G208" s="154"/>
      <c r="H208" s="154"/>
      <c r="I208" s="154"/>
    </row>
    <row r="209" spans="1:18" x14ac:dyDescent="0.2">
      <c r="A209" s="154" t="str">
        <f>RunName</f>
        <v>2027 Test Year Cost of Service Study</v>
      </c>
      <c r="B209" s="154"/>
      <c r="C209" s="154"/>
      <c r="D209" s="154"/>
      <c r="E209" s="154"/>
      <c r="F209" s="154"/>
      <c r="G209" s="154"/>
      <c r="H209" s="154"/>
      <c r="I209" s="154"/>
    </row>
    <row r="210" spans="1:18" x14ac:dyDescent="0.2">
      <c r="A210" s="154" t="s">
        <v>423</v>
      </c>
      <c r="B210" s="154"/>
      <c r="C210" s="154"/>
      <c r="D210" s="154"/>
      <c r="E210" s="154"/>
      <c r="F210" s="154"/>
      <c r="G210" s="154"/>
      <c r="H210" s="154"/>
      <c r="I210" s="154"/>
    </row>
    <row r="211" spans="1:18" x14ac:dyDescent="0.2">
      <c r="A211" s="154" t="s">
        <v>329</v>
      </c>
      <c r="B211" s="154"/>
      <c r="C211" s="154"/>
      <c r="D211" s="154"/>
      <c r="E211" s="154"/>
      <c r="F211" s="154"/>
      <c r="G211" s="154"/>
      <c r="H211" s="154"/>
      <c r="I211" s="154"/>
    </row>
    <row r="212" spans="1:18" x14ac:dyDescent="0.2">
      <c r="B212" s="1">
        <f t="shared" ref="B212:I212" si="71">MAX(A212)+NoOne</f>
        <v>1</v>
      </c>
      <c r="C212" s="1">
        <f t="shared" si="71"/>
        <v>2</v>
      </c>
      <c r="D212" s="1">
        <f t="shared" si="71"/>
        <v>3</v>
      </c>
      <c r="E212" s="1">
        <f t="shared" si="71"/>
        <v>4</v>
      </c>
      <c r="F212" s="1">
        <f t="shared" si="71"/>
        <v>5</v>
      </c>
      <c r="G212" s="1">
        <f t="shared" si="71"/>
        <v>6</v>
      </c>
      <c r="H212" s="1">
        <f>MAX(F212)+NoOne</f>
        <v>6</v>
      </c>
      <c r="I212" s="1">
        <f t="shared" si="71"/>
        <v>7</v>
      </c>
    </row>
    <row r="213" spans="1:18" x14ac:dyDescent="0.2">
      <c r="G213" s="1"/>
      <c r="H213" s="1"/>
      <c r="I213" s="1"/>
    </row>
    <row r="214" spans="1:18" x14ac:dyDescent="0.2">
      <c r="B214" s="1"/>
      <c r="C214" s="1"/>
      <c r="D214" s="156" t="s">
        <v>332</v>
      </c>
      <c r="E214" s="1"/>
      <c r="F214" s="1"/>
      <c r="H214" s="156" t="s">
        <v>333</v>
      </c>
      <c r="I214" s="1" t="s">
        <v>277</v>
      </c>
    </row>
    <row r="215" spans="1:18" x14ac:dyDescent="0.2">
      <c r="A215" s="1" t="s">
        <v>14</v>
      </c>
      <c r="B215" s="1"/>
      <c r="C215" s="1"/>
      <c r="D215" s="1" t="s">
        <v>335</v>
      </c>
      <c r="E215" s="1" t="s">
        <v>277</v>
      </c>
      <c r="F215" s="1" t="s">
        <v>346</v>
      </c>
      <c r="G215" s="156" t="s">
        <v>336</v>
      </c>
      <c r="H215" s="156" t="s">
        <v>337</v>
      </c>
      <c r="I215" s="1" t="s">
        <v>338</v>
      </c>
    </row>
    <row r="216" spans="1:18" x14ac:dyDescent="0.2">
      <c r="A216" s="1" t="s">
        <v>30</v>
      </c>
      <c r="B216" s="1" t="s">
        <v>342</v>
      </c>
      <c r="C216" s="1" t="s">
        <v>343</v>
      </c>
      <c r="D216" s="1" t="s">
        <v>344</v>
      </c>
      <c r="E216" s="1" t="s">
        <v>373</v>
      </c>
      <c r="F216" s="1" t="s">
        <v>374</v>
      </c>
      <c r="G216" s="1" t="s">
        <v>347</v>
      </c>
      <c r="H216" s="1" t="s">
        <v>344</v>
      </c>
      <c r="I216" s="1" t="s">
        <v>348</v>
      </c>
      <c r="R216" s="1"/>
    </row>
    <row r="217" spans="1:18" ht="15" x14ac:dyDescent="0.25">
      <c r="B217" s="1"/>
      <c r="C217" s="214"/>
      <c r="D217" s="214"/>
      <c r="E217" s="214"/>
      <c r="F217" s="214"/>
      <c r="H217" s="161" t="s">
        <v>352</v>
      </c>
      <c r="I217" s="12" t="s">
        <v>353</v>
      </c>
    </row>
    <row r="218" spans="1:18" ht="15" x14ac:dyDescent="0.25">
      <c r="B218" s="1"/>
      <c r="C218" s="214" t="s">
        <v>37</v>
      </c>
      <c r="D218" s="214" t="s">
        <v>37</v>
      </c>
      <c r="E218" s="214" t="s">
        <v>37</v>
      </c>
      <c r="F218" s="214" t="s">
        <v>37</v>
      </c>
      <c r="G218" s="1" t="s">
        <v>37</v>
      </c>
      <c r="H218" s="1" t="s">
        <v>37</v>
      </c>
      <c r="I218" s="1"/>
    </row>
    <row r="219" spans="1:18" ht="15" x14ac:dyDescent="0.25">
      <c r="B219" s="2" t="s">
        <v>423</v>
      </c>
      <c r="C219" s="203"/>
      <c r="D219" s="203"/>
      <c r="E219" s="203"/>
      <c r="F219" s="203"/>
      <c r="H219" s="203"/>
    </row>
    <row r="220" spans="1:18" ht="15" x14ac:dyDescent="0.25">
      <c r="A220" s="1">
        <f>MAX(A218:A219)+NoOne</f>
        <v>1</v>
      </c>
      <c r="B220" s="5" t="s">
        <v>424</v>
      </c>
      <c r="C220" s="215">
        <v>9171997.7922488302</v>
      </c>
      <c r="D220" s="164">
        <v>9172199.8960632775</v>
      </c>
      <c r="E220" s="164"/>
      <c r="F220" s="170">
        <f>$F$27*(D220/SUM($D$220:$D$221))</f>
        <v>0</v>
      </c>
      <c r="G220" s="164"/>
      <c r="H220" s="164">
        <f>SUM(D220:F220)</f>
        <v>9172199.8960632775</v>
      </c>
      <c r="I220" s="203">
        <f t="shared" ref="I220:I221" si="72">IF(H220&lt;&gt;0,C220/H220,0)</f>
        <v>0.99997796561165941</v>
      </c>
      <c r="J220" s="163"/>
      <c r="K220" s="163"/>
      <c r="L220" s="163"/>
    </row>
    <row r="221" spans="1:18" ht="15" x14ac:dyDescent="0.25">
      <c r="A221" s="1">
        <f>MAX(A219:A220)+NoOne</f>
        <v>2</v>
      </c>
      <c r="B221" s="5" t="s">
        <v>425</v>
      </c>
      <c r="C221" s="170">
        <f>+D221</f>
        <v>0</v>
      </c>
      <c r="D221" s="164">
        <v>0</v>
      </c>
      <c r="E221" s="164"/>
      <c r="F221" s="170">
        <f>$F$27*(D221/SUM($D$220:$D$221))</f>
        <v>0</v>
      </c>
      <c r="G221" s="164"/>
      <c r="H221" s="164">
        <f>SUM(D221:F221)</f>
        <v>0</v>
      </c>
      <c r="I221" s="203">
        <f t="shared" si="72"/>
        <v>0</v>
      </c>
    </row>
    <row r="222" spans="1:18" ht="15" x14ac:dyDescent="0.25">
      <c r="B222" s="5"/>
      <c r="C222" s="170"/>
      <c r="D222" s="164"/>
      <c r="E222" s="164"/>
      <c r="F222" s="170"/>
      <c r="H222" s="164"/>
      <c r="I222" s="204"/>
    </row>
    <row r="223" spans="1:18" x14ac:dyDescent="0.2">
      <c r="A223" s="1">
        <f>MAX(A220:A222)+NoOne</f>
        <v>3</v>
      </c>
      <c r="B223" s="2" t="s">
        <v>300</v>
      </c>
      <c r="C223" s="181">
        <f>+C220+C221+C222</f>
        <v>9171997.7922488302</v>
      </c>
      <c r="D223" s="181">
        <f>+D220+D221+D222</f>
        <v>9172199.8960632775</v>
      </c>
      <c r="E223" s="181">
        <f>+E220+E221+E222</f>
        <v>0</v>
      </c>
      <c r="F223" s="181">
        <f>+F220+F221</f>
        <v>0</v>
      </c>
      <c r="G223" s="181"/>
      <c r="H223" s="181">
        <f>+H220+H221+H222</f>
        <v>9172199.8960632775</v>
      </c>
      <c r="I223" s="182"/>
    </row>
    <row r="224" spans="1:18" ht="15" x14ac:dyDescent="0.25">
      <c r="C224" s="170"/>
      <c r="D224" s="164"/>
      <c r="E224" s="164"/>
      <c r="F224" s="170"/>
      <c r="H224" s="164"/>
      <c r="I224" s="204"/>
    </row>
    <row r="225" spans="1:14" ht="15" x14ac:dyDescent="0.25">
      <c r="A225" s="1">
        <f>MAX(A222:A224)+NoOne</f>
        <v>4</v>
      </c>
      <c r="B225" s="5" t="s">
        <v>362</v>
      </c>
      <c r="C225" s="216">
        <v>0</v>
      </c>
      <c r="D225" s="178">
        <v>0</v>
      </c>
      <c r="E225" s="178">
        <f>+E246</f>
        <v>0</v>
      </c>
      <c r="F225" s="178">
        <v>0</v>
      </c>
      <c r="H225" s="178">
        <f>SUM(D225:F225)</f>
        <v>0</v>
      </c>
      <c r="I225" s="203">
        <f>IF(H225&lt;&gt;0,C225/H225,0)</f>
        <v>0</v>
      </c>
    </row>
    <row r="226" spans="1:14" ht="15" x14ac:dyDescent="0.25">
      <c r="C226" s="217"/>
      <c r="D226" s="164"/>
      <c r="E226" s="164"/>
      <c r="F226" s="170"/>
      <c r="H226" s="164"/>
      <c r="I226" s="204"/>
    </row>
    <row r="227" spans="1:14" ht="15" x14ac:dyDescent="0.25">
      <c r="B227" s="2" t="s">
        <v>230</v>
      </c>
      <c r="C227" s="164"/>
      <c r="D227" s="164"/>
      <c r="E227" s="164"/>
      <c r="F227" s="170"/>
      <c r="H227" s="164"/>
    </row>
    <row r="228" spans="1:14" ht="15" x14ac:dyDescent="0.25">
      <c r="A228" s="1">
        <f t="shared" ref="A228" si="73">MAX(A225:A227)+NoOne</f>
        <v>5</v>
      </c>
      <c r="B228" s="106" t="s">
        <v>426</v>
      </c>
      <c r="C228" s="202">
        <v>106056.57772090579</v>
      </c>
      <c r="D228" s="164">
        <v>206447.62225798349</v>
      </c>
      <c r="E228" s="164">
        <f t="shared" ref="E228:E234" si="74">-$E$249*(D228/$D$236)</f>
        <v>0</v>
      </c>
      <c r="F228" s="183">
        <f t="shared" ref="F228:F234" si="75">(D228/$D$236)*$F$29</f>
        <v>22577.867162907249</v>
      </c>
      <c r="H228" s="164">
        <f t="shared" ref="H228:H234" si="76">SUM(D228:F228)</f>
        <v>229025.48942089075</v>
      </c>
      <c r="I228" s="203">
        <f>IF(H228&lt;&gt;0,C228/H228,0)</f>
        <v>0.46307761633466354</v>
      </c>
      <c r="K228" s="166" t="s">
        <v>427</v>
      </c>
      <c r="L228" s="166"/>
      <c r="M228" s="166"/>
    </row>
    <row r="229" spans="1:14" ht="15" x14ac:dyDescent="0.25">
      <c r="A229" s="1">
        <f t="shared" ref="A229" si="77">MAX(A226:A228)+NoOne</f>
        <v>6</v>
      </c>
      <c r="B229" s="106" t="s">
        <v>428</v>
      </c>
      <c r="C229" s="202">
        <v>11783491.397883454</v>
      </c>
      <c r="D229" s="164">
        <v>12172687.442218101</v>
      </c>
      <c r="E229" s="164">
        <f t="shared" si="74"/>
        <v>0</v>
      </c>
      <c r="F229" s="170">
        <f t="shared" si="75"/>
        <v>1331249.6268063048</v>
      </c>
      <c r="H229" s="164">
        <f t="shared" si="76"/>
        <v>13503937.069024406</v>
      </c>
      <c r="I229" s="203">
        <f t="shared" ref="I229:I234" si="78">IF(H229&lt;&gt;0,C229/H229,0)</f>
        <v>0.87259673513383418</v>
      </c>
      <c r="K229" s="166" t="s">
        <v>429</v>
      </c>
      <c r="L229" s="166"/>
      <c r="M229" s="166"/>
    </row>
    <row r="230" spans="1:14" ht="15" x14ac:dyDescent="0.25">
      <c r="A230" s="1">
        <f t="shared" ref="A230" si="79">MAX(A227:A229)+NoOne</f>
        <v>7</v>
      </c>
      <c r="B230" s="106" t="s">
        <v>390</v>
      </c>
      <c r="C230" s="202">
        <v>302008.10249600926</v>
      </c>
      <c r="D230" s="164">
        <v>302668.04169709131</v>
      </c>
      <c r="E230" s="164">
        <f t="shared" si="74"/>
        <v>0</v>
      </c>
      <c r="F230" s="170">
        <f t="shared" si="75"/>
        <v>33100.884210498283</v>
      </c>
      <c r="H230" s="164">
        <f t="shared" si="76"/>
        <v>335768.92590758961</v>
      </c>
      <c r="I230" s="203">
        <f t="shared" si="78"/>
        <v>0.89945221011645371</v>
      </c>
      <c r="K230" s="166" t="s">
        <v>430</v>
      </c>
      <c r="L230" s="166"/>
      <c r="M230" s="166"/>
      <c r="N230" s="166"/>
    </row>
    <row r="231" spans="1:14" ht="15" x14ac:dyDescent="0.25">
      <c r="A231" s="1">
        <f t="shared" ref="A231" si="80">MAX(A228:A230)+NoOne</f>
        <v>8</v>
      </c>
      <c r="B231" s="106" t="s">
        <v>378</v>
      </c>
      <c r="C231" s="202">
        <v>2488347.116955772</v>
      </c>
      <c r="D231" s="164">
        <v>1963428.7597446749</v>
      </c>
      <c r="E231" s="164">
        <f t="shared" si="74"/>
        <v>0</v>
      </c>
      <c r="F231" s="170">
        <f t="shared" si="75"/>
        <v>214727.75145819207</v>
      </c>
      <c r="H231" s="164">
        <f t="shared" si="76"/>
        <v>2178156.5112028671</v>
      </c>
      <c r="I231" s="203">
        <f t="shared" si="78"/>
        <v>1.1424096956107186</v>
      </c>
      <c r="K231" s="166" t="s">
        <v>431</v>
      </c>
      <c r="L231" s="166"/>
      <c r="M231" s="166"/>
    </row>
    <row r="232" spans="1:14" ht="15" x14ac:dyDescent="0.25">
      <c r="A232" s="1">
        <f t="shared" ref="A232" si="81">MAX(A229:A231)+NoOne</f>
        <v>9</v>
      </c>
      <c r="B232" s="106" t="s">
        <v>379</v>
      </c>
      <c r="C232" s="202">
        <v>4254475.8751962688</v>
      </c>
      <c r="D232" s="164">
        <v>2864081.8364553126</v>
      </c>
      <c r="E232" s="164">
        <f t="shared" si="74"/>
        <v>0</v>
      </c>
      <c r="F232" s="170">
        <f t="shared" si="75"/>
        <v>313226.46654838306</v>
      </c>
      <c r="H232" s="164">
        <f t="shared" si="76"/>
        <v>3177308.3030036958</v>
      </c>
      <c r="I232" s="203">
        <f t="shared" si="78"/>
        <v>1.3390189019977266</v>
      </c>
      <c r="K232" s="166" t="s">
        <v>432</v>
      </c>
      <c r="L232" s="166"/>
      <c r="M232" s="166"/>
    </row>
    <row r="233" spans="1:14" ht="15" x14ac:dyDescent="0.25">
      <c r="A233" s="1">
        <f t="shared" ref="A233" si="82">MAX(A230:A232)+NoOne</f>
        <v>10</v>
      </c>
      <c r="B233" s="106" t="s">
        <v>380</v>
      </c>
      <c r="C233" s="202">
        <v>2903848.6890631756</v>
      </c>
      <c r="D233" s="164">
        <v>2090121.3207885535</v>
      </c>
      <c r="E233" s="164">
        <f t="shared" si="74"/>
        <v>0</v>
      </c>
      <c r="F233" s="170">
        <f t="shared" si="75"/>
        <v>228583.31337986296</v>
      </c>
      <c r="H233" s="164">
        <f t="shared" si="76"/>
        <v>2318704.6341684163</v>
      </c>
      <c r="I233" s="203">
        <f t="shared" si="78"/>
        <v>1.2523581685532863</v>
      </c>
      <c r="K233" s="166" t="s">
        <v>433</v>
      </c>
      <c r="L233" s="166"/>
      <c r="M233" s="166"/>
    </row>
    <row r="234" spans="1:14" ht="15" x14ac:dyDescent="0.25">
      <c r="A234" s="1">
        <f t="shared" ref="A234" si="83">MAX(A231:A233)+NoOne</f>
        <v>11</v>
      </c>
      <c r="B234" s="106" t="s">
        <v>246</v>
      </c>
      <c r="C234" s="202">
        <v>392808</v>
      </c>
      <c r="D234" s="164">
        <v>439584.88334692374</v>
      </c>
      <c r="E234" s="164">
        <f t="shared" si="74"/>
        <v>0</v>
      </c>
      <c r="F234" s="170">
        <f t="shared" si="75"/>
        <v>48074.610860019828</v>
      </c>
      <c r="H234" s="164">
        <f t="shared" si="76"/>
        <v>487659.49420694355</v>
      </c>
      <c r="I234" s="203">
        <f t="shared" si="78"/>
        <v>0.80549646765065896</v>
      </c>
      <c r="K234" s="166" t="s">
        <v>434</v>
      </c>
      <c r="L234" s="166"/>
      <c r="M234" s="166"/>
    </row>
    <row r="235" spans="1:14" ht="15" x14ac:dyDescent="0.25">
      <c r="C235" s="212"/>
      <c r="D235" s="212"/>
      <c r="E235" s="212"/>
      <c r="F235" s="178"/>
      <c r="H235" s="212"/>
      <c r="I235" s="204"/>
      <c r="M235" s="204"/>
    </row>
    <row r="236" spans="1:14" x14ac:dyDescent="0.2">
      <c r="A236" s="1">
        <f>MAX(A233:A235)+NoOne</f>
        <v>12</v>
      </c>
      <c r="B236" s="2" t="s">
        <v>381</v>
      </c>
      <c r="C236" s="181">
        <f>SUM(C228:C234)</f>
        <v>22231035.759315588</v>
      </c>
      <c r="D236" s="181">
        <f>SUM(D228:D234)</f>
        <v>20039019.906508639</v>
      </c>
      <c r="E236" s="181">
        <f>SUM(E228:E234)</f>
        <v>0</v>
      </c>
      <c r="F236" s="181">
        <f>SUM(F228:F234)</f>
        <v>2191540.5204261681</v>
      </c>
      <c r="G236" s="181"/>
      <c r="H236" s="181">
        <f>SUM(D236:F236)</f>
        <v>22230560.426934808</v>
      </c>
      <c r="I236" s="182"/>
      <c r="M236" s="204"/>
    </row>
    <row r="237" spans="1:14" ht="13.5" thickBot="1" x14ac:dyDescent="0.25">
      <c r="A237" s="1">
        <f>MAX(A234:A236)+NoOne</f>
        <v>13</v>
      </c>
      <c r="B237" s="2" t="s">
        <v>435</v>
      </c>
      <c r="C237" s="184">
        <f>+C236+C225+C223</f>
        <v>31403033.551564418</v>
      </c>
      <c r="D237" s="184">
        <f>+D236+D225+D223</f>
        <v>29211219.802571915</v>
      </c>
      <c r="E237" s="184">
        <f>+E236+E225+E223</f>
        <v>0</v>
      </c>
      <c r="F237" s="184">
        <f>+F236+F225+F223</f>
        <v>2191540.5204261681</v>
      </c>
      <c r="G237" s="184"/>
      <c r="H237" s="184">
        <f>SUM(D237:F237)</f>
        <v>31402760.322998084</v>
      </c>
      <c r="I237" s="185"/>
    </row>
    <row r="238" spans="1:14" ht="13.5" thickTop="1" x14ac:dyDescent="0.2"/>
    <row r="239" spans="1:14" x14ac:dyDescent="0.2">
      <c r="B239" s="5" t="s">
        <v>436</v>
      </c>
    </row>
    <row r="240" spans="1:14" x14ac:dyDescent="0.2">
      <c r="B240" s="5" t="s">
        <v>437</v>
      </c>
      <c r="C240" s="163"/>
      <c r="D240" s="163"/>
      <c r="E240" s="163"/>
      <c r="F240" s="163"/>
      <c r="G240" s="163"/>
    </row>
    <row r="241" spans="1:18" x14ac:dyDescent="0.2">
      <c r="C241" s="163"/>
      <c r="D241" s="163"/>
      <c r="E241" s="163"/>
      <c r="F241" s="163"/>
      <c r="G241" s="163"/>
    </row>
    <row r="242" spans="1:18" x14ac:dyDescent="0.2">
      <c r="B242" s="173" t="s">
        <v>438</v>
      </c>
      <c r="C242" s="163"/>
      <c r="D242" s="163"/>
      <c r="E242" s="163"/>
      <c r="F242" s="163"/>
      <c r="G242" s="163"/>
    </row>
    <row r="243" spans="1:18" x14ac:dyDescent="0.2">
      <c r="B243" s="191" t="s">
        <v>439</v>
      </c>
      <c r="C243" s="163"/>
      <c r="E243" s="163">
        <f>+C225</f>
        <v>0</v>
      </c>
      <c r="F243" s="163"/>
      <c r="G243" s="163"/>
    </row>
    <row r="244" spans="1:18" x14ac:dyDescent="0.2">
      <c r="B244" s="191" t="s">
        <v>440</v>
      </c>
      <c r="C244" s="163"/>
      <c r="E244" s="163">
        <f>-D225</f>
        <v>0</v>
      </c>
      <c r="F244" s="163"/>
      <c r="G244" s="163"/>
      <c r="R244" s="1"/>
    </row>
    <row r="245" spans="1:18" x14ac:dyDescent="0.2">
      <c r="B245" s="191" t="s">
        <v>441</v>
      </c>
      <c r="C245" s="163"/>
      <c r="E245" s="163">
        <v>0</v>
      </c>
      <c r="F245" s="163"/>
      <c r="G245" s="163"/>
    </row>
    <row r="246" spans="1:18" ht="13.5" thickBot="1" x14ac:dyDescent="0.25">
      <c r="B246" s="207" t="s">
        <v>442</v>
      </c>
      <c r="E246" s="218">
        <f>SUM(E243:E245)</f>
        <v>0</v>
      </c>
    </row>
    <row r="247" spans="1:18" ht="13.5" thickTop="1" x14ac:dyDescent="0.2">
      <c r="B247" s="207"/>
      <c r="E247" s="163"/>
    </row>
    <row r="248" spans="1:18" x14ac:dyDescent="0.2">
      <c r="B248" s="207" t="s">
        <v>443</v>
      </c>
      <c r="D248" s="219">
        <f>+[2]RunOptions!B18</f>
        <v>1</v>
      </c>
      <c r="E248" s="163">
        <f>+E246*D248</f>
        <v>0</v>
      </c>
    </row>
    <row r="249" spans="1:18" x14ac:dyDescent="0.2">
      <c r="B249" s="207" t="s">
        <v>444</v>
      </c>
      <c r="E249" s="163">
        <f>+E246-E248</f>
        <v>0</v>
      </c>
    </row>
    <row r="250" spans="1:18" ht="13.5" thickBot="1" x14ac:dyDescent="0.25">
      <c r="B250" s="207"/>
      <c r="E250" s="218">
        <f>SUM(E248:E249)</f>
        <v>0</v>
      </c>
    </row>
    <row r="251" spans="1:18" ht="13.5" thickTop="1" x14ac:dyDescent="0.2">
      <c r="H251" s="220" t="s">
        <v>445</v>
      </c>
    </row>
    <row r="252" spans="1:18" x14ac:dyDescent="0.2">
      <c r="G252" s="220"/>
      <c r="H252" s="220" t="s">
        <v>3</v>
      </c>
    </row>
    <row r="253" spans="1:18" x14ac:dyDescent="0.2">
      <c r="G253" s="220"/>
    </row>
    <row r="255" spans="1:18" x14ac:dyDescent="0.2">
      <c r="A255" s="154" t="str">
        <f>+A6</f>
        <v>NEWFOUNDLAND AND LABRADOR HYDRO</v>
      </c>
      <c r="B255" s="154"/>
      <c r="C255" s="154"/>
      <c r="D255" s="154"/>
      <c r="E255" s="154"/>
      <c r="F255" s="154"/>
      <c r="G255" s="154"/>
      <c r="H255" s="154"/>
    </row>
    <row r="256" spans="1:18" x14ac:dyDescent="0.2">
      <c r="A256" s="154" t="str">
        <f>RunName</f>
        <v>2027 Test Year Cost of Service Study</v>
      </c>
      <c r="B256" s="154"/>
      <c r="C256" s="154"/>
      <c r="D256" s="154"/>
      <c r="E256" s="154"/>
      <c r="F256" s="154"/>
      <c r="G256" s="154"/>
      <c r="H256" s="154"/>
    </row>
    <row r="257" spans="1:18" x14ac:dyDescent="0.2">
      <c r="A257" s="154" t="s">
        <v>328</v>
      </c>
      <c r="B257" s="154"/>
      <c r="C257" s="154"/>
      <c r="D257" s="154"/>
      <c r="E257" s="154"/>
      <c r="F257" s="154"/>
      <c r="G257" s="154"/>
      <c r="H257" s="154"/>
    </row>
    <row r="258" spans="1:18" x14ac:dyDescent="0.2">
      <c r="A258" s="154" t="s">
        <v>446</v>
      </c>
      <c r="B258" s="154"/>
      <c r="C258" s="154"/>
      <c r="D258" s="154"/>
      <c r="E258" s="154"/>
      <c r="F258" s="154"/>
      <c r="G258" s="154"/>
      <c r="H258" s="154"/>
    </row>
    <row r="259" spans="1:18" x14ac:dyDescent="0.2">
      <c r="B259" s="192"/>
      <c r="C259" s="192"/>
      <c r="D259" s="192"/>
      <c r="E259" s="192"/>
      <c r="F259" s="192"/>
      <c r="G259" s="192"/>
    </row>
    <row r="260" spans="1:18" s="1" customFormat="1" x14ac:dyDescent="0.2">
      <c r="B260" s="1">
        <f t="shared" ref="B260:C260" si="84">MAX(A260)+NoOne</f>
        <v>1</v>
      </c>
      <c r="C260" s="1">
        <f t="shared" si="84"/>
        <v>2</v>
      </c>
      <c r="F260" s="1">
        <f>MAX(C260)+NoOne</f>
        <v>3</v>
      </c>
      <c r="H260" s="1">
        <f>MAX(F260)+NoOne</f>
        <v>4</v>
      </c>
      <c r="I260" s="1">
        <f>MAX(H260)+NoOne</f>
        <v>5</v>
      </c>
      <c r="J260" s="1">
        <f>MAX(I260)+NoOne</f>
        <v>6</v>
      </c>
    </row>
    <row r="261" spans="1:18" s="1" customFormat="1" x14ac:dyDescent="0.2"/>
    <row r="262" spans="1:18" s="1" customFormat="1" ht="38.25" x14ac:dyDescent="0.2">
      <c r="C262" s="221" t="s">
        <v>447</v>
      </c>
      <c r="F262" s="222"/>
      <c r="H262" s="222"/>
      <c r="I262" s="222"/>
    </row>
    <row r="263" spans="1:18" x14ac:dyDescent="0.2">
      <c r="A263" s="1" t="s">
        <v>14</v>
      </c>
      <c r="B263" s="1"/>
      <c r="C263" s="1" t="s">
        <v>448</v>
      </c>
      <c r="D263" s="12" t="s">
        <v>449</v>
      </c>
      <c r="E263" s="1" t="s">
        <v>594</v>
      </c>
      <c r="F263" s="1"/>
      <c r="H263" s="1"/>
      <c r="I263" s="1"/>
      <c r="J263" s="1"/>
    </row>
    <row r="264" spans="1:18" x14ac:dyDescent="0.2">
      <c r="A264" s="1" t="s">
        <v>30</v>
      </c>
      <c r="B264" s="1" t="s">
        <v>342</v>
      </c>
      <c r="C264" s="1" t="s">
        <v>450</v>
      </c>
      <c r="D264" s="1" t="s">
        <v>451</v>
      </c>
      <c r="E264" s="1" t="s">
        <v>450</v>
      </c>
      <c r="F264" s="1" t="s">
        <v>33</v>
      </c>
      <c r="H264" s="1" t="s">
        <v>34</v>
      </c>
      <c r="I264" s="1" t="s">
        <v>35</v>
      </c>
      <c r="J264" s="1" t="s">
        <v>452</v>
      </c>
    </row>
    <row r="265" spans="1:18" x14ac:dyDescent="0.2">
      <c r="B265" s="1"/>
      <c r="C265" s="1" t="s">
        <v>37</v>
      </c>
      <c r="D265" s="1" t="s">
        <v>37</v>
      </c>
      <c r="E265" s="1" t="s">
        <v>37</v>
      </c>
      <c r="F265" s="1" t="s">
        <v>37</v>
      </c>
      <c r="H265" s="1" t="s">
        <v>37</v>
      </c>
      <c r="I265" s="1" t="s">
        <v>37</v>
      </c>
      <c r="J265" s="1"/>
    </row>
    <row r="266" spans="1:18" x14ac:dyDescent="0.2">
      <c r="B266" s="1"/>
      <c r="C266" s="1"/>
      <c r="F266" s="1"/>
      <c r="H266" s="1"/>
      <c r="I266" s="1"/>
      <c r="J266" s="1"/>
    </row>
    <row r="267" spans="1:18" x14ac:dyDescent="0.2">
      <c r="B267" s="169" t="s">
        <v>453</v>
      </c>
      <c r="C267" s="1"/>
      <c r="F267" s="1"/>
      <c r="H267" s="1"/>
      <c r="I267" s="1"/>
      <c r="J267" s="1"/>
    </row>
    <row r="268" spans="1:18" ht="15" x14ac:dyDescent="0.25">
      <c r="A268" s="1">
        <f>MAX(A265:A267)+NoOne</f>
        <v>1</v>
      </c>
      <c r="B268" s="173" t="s">
        <v>454</v>
      </c>
      <c r="C268" s="163">
        <f>SUM(F268:I268)</f>
        <v>574037013.76257312</v>
      </c>
      <c r="D268" s="163"/>
      <c r="E268" s="163">
        <f>SUM(C268:D268)</f>
        <v>574037013.76257312</v>
      </c>
      <c r="F268" s="164">
        <v>344018734.96693635</v>
      </c>
      <c r="H268" s="164">
        <v>227274935.45634991</v>
      </c>
      <c r="I268" s="164">
        <v>2743343.3392869532</v>
      </c>
      <c r="J268" s="106" t="s">
        <v>455</v>
      </c>
    </row>
    <row r="269" spans="1:18" ht="15" x14ac:dyDescent="0.25">
      <c r="A269" s="1">
        <f>MAX(A266:A268)+NoOne</f>
        <v>2</v>
      </c>
      <c r="B269" s="106" t="s">
        <v>456</v>
      </c>
      <c r="C269" s="163">
        <f>SUM(F269:I269)</f>
        <v>20039019.906508639</v>
      </c>
      <c r="D269" s="163"/>
      <c r="E269" s="163">
        <f>SUM(C269:D269)</f>
        <v>20039019.906508639</v>
      </c>
      <c r="F269" s="163">
        <v>12775025.529698385</v>
      </c>
      <c r="H269" s="164">
        <v>1088077.3977040008</v>
      </c>
      <c r="I269" s="164">
        <v>6175916.9791062539</v>
      </c>
      <c r="J269" s="173" t="s">
        <v>457</v>
      </c>
    </row>
    <row r="270" spans="1:18" x14ac:dyDescent="0.2">
      <c r="C270" s="163"/>
      <c r="D270" s="163"/>
      <c r="E270" s="163"/>
      <c r="F270" s="163"/>
      <c r="H270" s="163"/>
      <c r="I270" s="163"/>
    </row>
    <row r="271" spans="1:18" ht="13.5" thickBot="1" x14ac:dyDescent="0.25">
      <c r="A271" s="1">
        <f>MAX(A268:A270)+NoOne</f>
        <v>3</v>
      </c>
      <c r="B271" s="2" t="s">
        <v>301</v>
      </c>
      <c r="C271" s="223">
        <f>SUM(C268:C269)</f>
        <v>594076033.66908181</v>
      </c>
      <c r="D271" s="223"/>
      <c r="E271" s="223">
        <f t="shared" ref="E271" si="85">SUM(E268:E269)</f>
        <v>594076033.66908181</v>
      </c>
      <c r="F271" s="223">
        <f>SUM(F268:F269)</f>
        <v>356793760.49663472</v>
      </c>
      <c r="H271" s="223">
        <f>SUM(H268:H269)</f>
        <v>228363012.85405391</v>
      </c>
      <c r="I271" s="223">
        <f>SUM(I268:I269)</f>
        <v>8919260.3183932081</v>
      </c>
    </row>
    <row r="272" spans="1:18" ht="15.75" thickTop="1" x14ac:dyDescent="0.25">
      <c r="A272" s="154"/>
      <c r="H272" s="164"/>
      <c r="I272" s="164"/>
      <c r="R272" s="1"/>
    </row>
    <row r="273" spans="1:10" ht="15" x14ac:dyDescent="0.25">
      <c r="A273" s="1">
        <f>MAX(A270:A272)+NoOne</f>
        <v>4</v>
      </c>
      <c r="B273" s="106" t="s">
        <v>458</v>
      </c>
      <c r="C273" s="163">
        <f>-1*F38</f>
        <v>64970328.19339557</v>
      </c>
      <c r="D273" s="163">
        <v>0</v>
      </c>
      <c r="E273" s="163">
        <f>SUM(C273:D273)</f>
        <v>64970328.19339557</v>
      </c>
      <c r="F273" s="163">
        <f>E273-SUM(H273:I273)</f>
        <v>39020270.812228471</v>
      </c>
      <c r="H273" s="164">
        <f>H$271/$C$271*$E$273</f>
        <v>24974614.445774879</v>
      </c>
      <c r="I273" s="164">
        <f>I$271/$C$271*$E$273</f>
        <v>975442.93539222027</v>
      </c>
      <c r="J273" s="209" t="s">
        <v>459</v>
      </c>
    </row>
    <row r="275" spans="1:10" x14ac:dyDescent="0.2">
      <c r="D275" s="152"/>
      <c r="E275" s="152"/>
      <c r="F275" s="152"/>
    </row>
    <row r="276" spans="1:10" x14ac:dyDescent="0.2">
      <c r="B276" s="5" t="s">
        <v>460</v>
      </c>
    </row>
    <row r="277" spans="1:10" x14ac:dyDescent="0.2">
      <c r="B277" s="173"/>
      <c r="D277" s="186"/>
      <c r="E277" s="186"/>
      <c r="F277" s="186"/>
      <c r="G277" s="207"/>
    </row>
    <row r="278" spans="1:10" x14ac:dyDescent="0.2">
      <c r="B278" s="2"/>
      <c r="C278" s="2"/>
      <c r="D278" s="224"/>
      <c r="E278" s="224"/>
      <c r="F278" s="224"/>
    </row>
    <row r="281" spans="1:10" x14ac:dyDescent="0.2">
      <c r="D281" s="186"/>
      <c r="E281" s="186"/>
      <c r="F281" s="186"/>
      <c r="G281" s="207"/>
    </row>
    <row r="282" spans="1:10" x14ac:dyDescent="0.2">
      <c r="B282" s="2"/>
      <c r="C282" s="2"/>
      <c r="D282" s="224"/>
      <c r="E282" s="224"/>
      <c r="F282" s="224"/>
    </row>
    <row r="283" spans="1:10" x14ac:dyDescent="0.2">
      <c r="B283" s="2"/>
      <c r="C283" s="2"/>
      <c r="D283" s="224"/>
      <c r="E283" s="224"/>
      <c r="F283" s="224"/>
    </row>
    <row r="285" spans="1:10" ht="15" x14ac:dyDescent="0.25">
      <c r="D285" s="225"/>
      <c r="E285" s="225"/>
      <c r="F285" s="225"/>
      <c r="G285" s="173"/>
    </row>
    <row r="286" spans="1:10" x14ac:dyDescent="0.2">
      <c r="D286" s="151"/>
      <c r="E286" s="151"/>
      <c r="F286" s="151"/>
    </row>
    <row r="288" spans="1:10" x14ac:dyDescent="0.2">
      <c r="B288" s="106" t="s">
        <v>461</v>
      </c>
    </row>
    <row r="289" spans="1:18" x14ac:dyDescent="0.2">
      <c r="B289" s="106" t="s">
        <v>462</v>
      </c>
    </row>
    <row r="291" spans="1:18" x14ac:dyDescent="0.2">
      <c r="B291" s="106" t="s">
        <v>463</v>
      </c>
    </row>
    <row r="292" spans="1:18" ht="15" x14ac:dyDescent="0.25">
      <c r="B292" s="106" t="s">
        <v>464</v>
      </c>
      <c r="D292" s="226">
        <v>536.43958985910592</v>
      </c>
      <c r="E292" s="106" t="s">
        <v>39</v>
      </c>
    </row>
    <row r="293" spans="1:18" ht="15" x14ac:dyDescent="0.25">
      <c r="B293" s="106" t="s">
        <v>465</v>
      </c>
      <c r="D293" s="226">
        <v>507.34482936963519</v>
      </c>
    </row>
    <row r="294" spans="1:18" x14ac:dyDescent="0.2">
      <c r="H294" s="220" t="s">
        <v>445</v>
      </c>
    </row>
    <row r="295" spans="1:18" x14ac:dyDescent="0.2">
      <c r="G295" s="220"/>
      <c r="H295" s="227" t="s">
        <v>110</v>
      </c>
    </row>
    <row r="296" spans="1:18" x14ac:dyDescent="0.2">
      <c r="G296" s="220"/>
    </row>
    <row r="298" spans="1:18" x14ac:dyDescent="0.2">
      <c r="A298" s="154" t="str">
        <f>+A6</f>
        <v>NEWFOUNDLAND AND LABRADOR HYDRO</v>
      </c>
      <c r="B298" s="154"/>
      <c r="C298" s="154"/>
      <c r="D298" s="154"/>
      <c r="E298" s="154"/>
      <c r="F298" s="154"/>
      <c r="G298" s="154"/>
      <c r="H298" s="154"/>
    </row>
    <row r="299" spans="1:18" x14ac:dyDescent="0.2">
      <c r="A299" s="154" t="str">
        <f>RunName</f>
        <v>2027 Test Year Cost of Service Study</v>
      </c>
      <c r="B299" s="154"/>
      <c r="C299" s="154"/>
      <c r="D299" s="154"/>
      <c r="E299" s="154"/>
      <c r="F299" s="154"/>
      <c r="G299" s="154"/>
      <c r="H299" s="154"/>
    </row>
    <row r="300" spans="1:18" x14ac:dyDescent="0.2">
      <c r="A300" s="154" t="s">
        <v>328</v>
      </c>
      <c r="B300" s="154"/>
      <c r="C300" s="154"/>
      <c r="D300" s="154"/>
      <c r="E300" s="154"/>
      <c r="F300" s="154"/>
      <c r="G300" s="154"/>
      <c r="H300" s="154"/>
      <c r="R300" s="1"/>
    </row>
    <row r="301" spans="1:18" x14ac:dyDescent="0.2">
      <c r="A301" s="154" t="s">
        <v>446</v>
      </c>
      <c r="B301" s="154"/>
      <c r="C301" s="154"/>
      <c r="D301" s="154"/>
      <c r="E301" s="154"/>
      <c r="F301" s="154"/>
      <c r="G301" s="154"/>
      <c r="H301" s="154"/>
    </row>
    <row r="302" spans="1:18" x14ac:dyDescent="0.2">
      <c r="B302" s="192"/>
      <c r="C302" s="192"/>
      <c r="D302" s="192"/>
      <c r="E302" s="192"/>
      <c r="F302" s="192"/>
    </row>
    <row r="303" spans="1:18" x14ac:dyDescent="0.2">
      <c r="A303" s="1" t="s">
        <v>14</v>
      </c>
      <c r="B303" s="1">
        <f>MAX(A303)+NoOne</f>
        <v>1</v>
      </c>
      <c r="C303" s="1">
        <f>MAX(B303)+NoOne</f>
        <v>2</v>
      </c>
      <c r="D303" s="1"/>
      <c r="E303" s="1"/>
      <c r="F303" s="1"/>
      <c r="G303" s="1"/>
    </row>
    <row r="304" spans="1:18" x14ac:dyDescent="0.2">
      <c r="A304" s="1" t="s">
        <v>30</v>
      </c>
    </row>
    <row r="305" spans="1:7" x14ac:dyDescent="0.2">
      <c r="B305" s="1"/>
      <c r="C305" s="1" t="s">
        <v>466</v>
      </c>
      <c r="D305" s="159"/>
      <c r="E305" s="159"/>
      <c r="F305" s="159"/>
      <c r="G305" s="1"/>
    </row>
    <row r="306" spans="1:7" x14ac:dyDescent="0.2">
      <c r="B306" s="1"/>
      <c r="C306" s="12" t="s">
        <v>467</v>
      </c>
      <c r="D306" s="1" t="s">
        <v>468</v>
      </c>
      <c r="E306" s="1" t="s">
        <v>469</v>
      </c>
      <c r="F306" s="1"/>
      <c r="G306" s="1"/>
    </row>
    <row r="307" spans="1:7" x14ac:dyDescent="0.2">
      <c r="B307" s="1"/>
      <c r="C307" s="228" t="s">
        <v>477</v>
      </c>
      <c r="D307" s="229" t="s">
        <v>470</v>
      </c>
      <c r="E307" s="229" t="s">
        <v>471</v>
      </c>
      <c r="F307" s="1"/>
      <c r="G307" s="1"/>
    </row>
    <row r="308" spans="1:7" x14ac:dyDescent="0.2">
      <c r="B308" s="1"/>
      <c r="C308" s="1" t="s">
        <v>37</v>
      </c>
      <c r="D308" s="1" t="s">
        <v>37</v>
      </c>
      <c r="E308" s="1" t="s">
        <v>37</v>
      </c>
      <c r="F308" s="1"/>
      <c r="G308" s="1"/>
    </row>
    <row r="310" spans="1:7" x14ac:dyDescent="0.2">
      <c r="B310" s="106" t="s">
        <v>472</v>
      </c>
    </row>
    <row r="312" spans="1:7" ht="15" x14ac:dyDescent="0.25">
      <c r="A312" s="1">
        <f>MAX(A309:A311)+NoOne</f>
        <v>1</v>
      </c>
      <c r="B312" s="106" t="s">
        <v>473</v>
      </c>
      <c r="C312" s="163">
        <f>C273</f>
        <v>64970328.19339557</v>
      </c>
      <c r="D312" s="212"/>
      <c r="E312" s="212"/>
      <c r="F312" s="212"/>
      <c r="G312" s="230"/>
    </row>
    <row r="313" spans="1:7" ht="15" hidden="1" x14ac:dyDescent="0.25">
      <c r="A313" s="1">
        <f>MAX(A310:A312)+NoOne</f>
        <v>2</v>
      </c>
      <c r="B313" s="106" t="s">
        <v>474</v>
      </c>
      <c r="C313" s="163">
        <f>D273</f>
        <v>0</v>
      </c>
      <c r="D313" s="212"/>
      <c r="E313" s="212"/>
      <c r="F313" s="212"/>
      <c r="G313" s="230"/>
    </row>
    <row r="314" spans="1:7" ht="15" x14ac:dyDescent="0.25">
      <c r="C314" s="163"/>
      <c r="D314" s="212"/>
      <c r="E314" s="212"/>
      <c r="F314" s="212"/>
    </row>
    <row r="315" spans="1:7" ht="13.5" thickBot="1" x14ac:dyDescent="0.25">
      <c r="A315" s="1">
        <v>2</v>
      </c>
      <c r="B315" s="2" t="s">
        <v>475</v>
      </c>
      <c r="C315" s="223">
        <f>SUM(C312:C313)</f>
        <v>64970328.19339557</v>
      </c>
      <c r="D315" s="223">
        <f>E268/E271*E273</f>
        <v>62778787.672969401</v>
      </c>
      <c r="E315" s="223">
        <f>E269/E271*E273</f>
        <v>2191540.5204261681</v>
      </c>
      <c r="F315" s="197"/>
    </row>
    <row r="316" spans="1:7" ht="13.5" thickTop="1" x14ac:dyDescent="0.2"/>
    <row r="317" spans="1:7" x14ac:dyDescent="0.2">
      <c r="B317" s="106" t="s">
        <v>476</v>
      </c>
    </row>
    <row r="318" spans="1:7" x14ac:dyDescent="0.2">
      <c r="C318" s="229" t="s">
        <v>32</v>
      </c>
      <c r="D318" s="231" t="s">
        <v>477</v>
      </c>
      <c r="E318" s="229" t="s">
        <v>478</v>
      </c>
    </row>
    <row r="319" spans="1:7" x14ac:dyDescent="0.2">
      <c r="B319" s="2" t="s">
        <v>479</v>
      </c>
    </row>
    <row r="320" spans="1:7" ht="15" x14ac:dyDescent="0.25">
      <c r="A320" s="1">
        <f>MAX(A315:A319)+NoOne</f>
        <v>3</v>
      </c>
      <c r="B320" s="173" t="s">
        <v>480</v>
      </c>
      <c r="C320" s="195">
        <f>C268/SUM($C$268:$C$268)*$D$315</f>
        <v>62778787.672969401</v>
      </c>
      <c r="D320" s="163">
        <f>SUM(F268:I268)</f>
        <v>574037013.76257312</v>
      </c>
      <c r="E320" s="232">
        <f>+C320/C326</f>
        <v>0.96626859396642317</v>
      </c>
    </row>
    <row r="321" spans="1:5" hidden="1" x14ac:dyDescent="0.2">
      <c r="A321" s="1">
        <f>MAX(A318:A320)+NoOne</f>
        <v>4</v>
      </c>
      <c r="B321" s="173" t="s">
        <v>481</v>
      </c>
      <c r="C321" s="195">
        <f>SUM(C320:C320)</f>
        <v>62778787.672969401</v>
      </c>
      <c r="E321" s="233"/>
    </row>
    <row r="322" spans="1:5" x14ac:dyDescent="0.2">
      <c r="B322" s="173"/>
      <c r="C322" s="163"/>
      <c r="E322" s="233"/>
    </row>
    <row r="323" spans="1:5" x14ac:dyDescent="0.2">
      <c r="B323" s="2" t="s">
        <v>482</v>
      </c>
      <c r="E323" s="233"/>
    </row>
    <row r="324" spans="1:5" ht="15" x14ac:dyDescent="0.25">
      <c r="A324" s="1">
        <f>MAX(A320:A320)+NoOne</f>
        <v>4</v>
      </c>
      <c r="B324" s="106" t="s">
        <v>483</v>
      </c>
      <c r="C324" s="195">
        <f>C269/SUM($C$269:$C$269)*$E$315</f>
        <v>2191540.5204261681</v>
      </c>
      <c r="D324" s="163">
        <f>SUM(F269:I269)</f>
        <v>20039019.906508639</v>
      </c>
      <c r="E324" s="232">
        <f>+C324/C326</f>
        <v>3.37314060335768E-2</v>
      </c>
    </row>
    <row r="325" spans="1:5" hidden="1" x14ac:dyDescent="0.2">
      <c r="A325" s="1">
        <f>MAX(A322:A324)+NoOne</f>
        <v>5</v>
      </c>
      <c r="B325" s="106" t="s">
        <v>484</v>
      </c>
      <c r="C325" s="195">
        <f>SUM(C324:C324)</f>
        <v>2191540.5204261681</v>
      </c>
      <c r="E325" s="1"/>
    </row>
    <row r="326" spans="1:5" ht="15.75" thickBot="1" x14ac:dyDescent="0.3">
      <c r="A326" s="1">
        <f>MAX(A323:A324)+NoOne</f>
        <v>5</v>
      </c>
      <c r="B326" s="2" t="s">
        <v>485</v>
      </c>
      <c r="C326" s="223">
        <f>SUM(C325,C321)</f>
        <v>64970328.19339557</v>
      </c>
      <c r="E326" s="234">
        <f>+C326/$C$326</f>
        <v>1</v>
      </c>
    </row>
    <row r="327" spans="1:5" ht="13.5" thickTop="1" x14ac:dyDescent="0.2"/>
  </sheetData>
  <printOptions horizontalCentered="1"/>
  <pageMargins left="0.5" right="0.5" top="0.5" bottom="0.5" header="0.5" footer="0.25"/>
  <pageSetup scale="90" firstPageNumber="9" fitToHeight="0" orientation="landscape" r:id="rId1"/>
  <headerFooter alignWithMargins="0"/>
  <rowBreaks count="7" manualBreakCount="7">
    <brk id="47" max="8" man="1"/>
    <brk id="96" max="8" man="1"/>
    <brk id="134" max="8" man="1"/>
    <brk id="172" max="8" man="1"/>
    <brk id="204" max="8" man="1"/>
    <brk id="250" max="7" man="1"/>
    <brk id="293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9432A-5544-426E-B051-98B56066F72F}">
  <sheetPr codeName="Sheet19"/>
  <dimension ref="A1:AP885"/>
  <sheetViews>
    <sheetView tabSelected="1" topLeftCell="C328" zoomScaleNormal="90" workbookViewId="0">
      <selection activeCell="E567" sqref="E567"/>
    </sheetView>
  </sheetViews>
  <sheetFormatPr defaultColWidth="9.140625" defaultRowHeight="12.75" x14ac:dyDescent="0.2"/>
  <cols>
    <col min="1" max="2" width="0" style="5" hidden="1" customWidth="1"/>
    <col min="3" max="3" width="13.140625" style="5" customWidth="1"/>
    <col min="4" max="4" width="4.42578125" style="5" bestFit="1" customWidth="1"/>
    <col min="5" max="5" width="26.140625" style="5" customWidth="1"/>
    <col min="6" max="6" width="13.28515625" style="5" customWidth="1"/>
    <col min="7" max="7" width="13.140625" style="5" customWidth="1"/>
    <col min="8" max="8" width="13.28515625" style="5" customWidth="1"/>
    <col min="9" max="9" width="13.5703125" style="5" customWidth="1"/>
    <col min="10" max="10" width="12.7109375" style="5" customWidth="1"/>
    <col min="11" max="11" width="11.85546875" style="5" customWidth="1"/>
    <col min="12" max="12" width="13" style="5" customWidth="1"/>
    <col min="13" max="13" width="11.7109375" style="5" customWidth="1"/>
    <col min="14" max="14" width="11.42578125" style="5" customWidth="1"/>
    <col min="15" max="15" width="12.140625" style="5" customWidth="1"/>
    <col min="16" max="17" width="11.7109375" style="5" customWidth="1"/>
    <col min="18" max="18" width="11" style="5" customWidth="1"/>
    <col min="19" max="19" width="11.42578125" style="5" customWidth="1"/>
    <col min="20" max="20" width="11.28515625" style="5" customWidth="1"/>
    <col min="21" max="21" width="10.7109375" style="5" customWidth="1"/>
    <col min="22" max="22" width="13.5703125" style="5" bestFit="1" customWidth="1"/>
    <col min="23" max="23" width="14.42578125" style="5" bestFit="1" customWidth="1"/>
    <col min="24" max="24" width="11" style="5" bestFit="1" customWidth="1"/>
    <col min="25" max="25" width="9.140625" style="5"/>
    <col min="26" max="27" width="6" style="5" customWidth="1"/>
    <col min="28" max="28" width="4.140625" style="5" customWidth="1"/>
    <col min="29" max="29" width="28.85546875" style="5" customWidth="1"/>
    <col min="30" max="30" width="2.7109375" style="5" customWidth="1"/>
    <col min="31" max="31" width="17.140625" style="5" customWidth="1"/>
    <col min="32" max="32" width="16.28515625" style="5" customWidth="1"/>
    <col min="33" max="33" width="1.7109375" style="5" customWidth="1"/>
    <col min="34" max="34" width="12.7109375" style="5" customWidth="1"/>
    <col min="35" max="35" width="68.7109375" style="5" customWidth="1"/>
    <col min="36" max="16384" width="9.140625" style="5"/>
  </cols>
  <sheetData>
    <row r="1" spans="1:42" s="2" customFormat="1" ht="23.25" customHeight="1" x14ac:dyDescent="0.2">
      <c r="A1" s="1">
        <v>1</v>
      </c>
      <c r="B1" s="1" t="s">
        <v>0</v>
      </c>
      <c r="C1" s="1"/>
      <c r="E1" s="3"/>
      <c r="F1" s="4"/>
    </row>
    <row r="2" spans="1:42" s="2" customFormat="1" ht="15.75" customHeight="1" x14ac:dyDescent="0.2">
      <c r="A2" s="4">
        <v>8</v>
      </c>
      <c r="B2" s="2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42" ht="16.5" x14ac:dyDescent="0.3">
      <c r="A3" s="5">
        <v>6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 t="s">
        <v>2</v>
      </c>
      <c r="X3" s="6"/>
      <c r="Y3" s="6"/>
      <c r="Z3" s="6"/>
      <c r="AA3" s="6"/>
      <c r="AB3" s="6"/>
      <c r="AC3" s="6"/>
      <c r="AD3" s="6"/>
      <c r="AE3" s="6"/>
      <c r="AF3" s="6"/>
      <c r="AG3" s="6"/>
      <c r="AH3" s="7"/>
      <c r="AI3" s="7" t="s">
        <v>2</v>
      </c>
    </row>
    <row r="4" spans="1:42" ht="16.5" x14ac:dyDescent="0.3"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7" t="s">
        <v>3</v>
      </c>
      <c r="X4" s="6"/>
      <c r="Y4" s="6"/>
      <c r="Z4" s="6"/>
      <c r="AA4" s="6"/>
      <c r="AB4" s="6"/>
      <c r="AC4" s="6"/>
      <c r="AD4" s="6"/>
      <c r="AE4" s="6"/>
      <c r="AF4" s="6"/>
      <c r="AG4" s="6"/>
      <c r="AH4" s="7"/>
      <c r="AI4" s="7" t="s">
        <v>4</v>
      </c>
    </row>
    <row r="5" spans="1:42" ht="16.5" x14ac:dyDescent="0.3">
      <c r="D5" s="8" t="s">
        <v>5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10"/>
      <c r="X5" s="6"/>
      <c r="Y5" s="6"/>
      <c r="AA5" s="9" t="s">
        <v>6</v>
      </c>
      <c r="AB5" s="9"/>
      <c r="AC5" s="9"/>
      <c r="AD5" s="9"/>
      <c r="AE5" s="9"/>
      <c r="AF5" s="9"/>
      <c r="AG5" s="9"/>
      <c r="AH5" s="11"/>
      <c r="AI5" s="11"/>
    </row>
    <row r="6" spans="1:42" ht="16.5" x14ac:dyDescent="0.3">
      <c r="D6" s="8" t="str">
        <f>RunName</f>
        <v>2027 Test Year Cost of Service Study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/>
      <c r="X6" s="6"/>
      <c r="Y6" s="6"/>
      <c r="AA6" s="9" t="str">
        <f>RunName</f>
        <v>2027 Test Year Cost of Service Study</v>
      </c>
      <c r="AB6" s="9"/>
      <c r="AC6" s="9"/>
      <c r="AD6" s="9"/>
      <c r="AE6" s="9"/>
      <c r="AF6" s="9"/>
      <c r="AG6" s="9"/>
      <c r="AH6" s="11"/>
      <c r="AI6" s="11"/>
    </row>
    <row r="7" spans="1:42" ht="16.5" x14ac:dyDescent="0.3">
      <c r="D7" s="8" t="str">
        <f>$B$1</f>
        <v>Island Interconnected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10"/>
      <c r="X7" s="6"/>
      <c r="Y7" s="6"/>
      <c r="AA7" s="9" t="str">
        <f>$B$1</f>
        <v>Island Interconnected</v>
      </c>
      <c r="AB7" s="9"/>
      <c r="AC7" s="9"/>
      <c r="AD7" s="9"/>
      <c r="AE7" s="9"/>
      <c r="AF7" s="9"/>
      <c r="AG7" s="9"/>
      <c r="AH7" s="11"/>
      <c r="AI7" s="11"/>
    </row>
    <row r="8" spans="1:42" ht="16.5" x14ac:dyDescent="0.3">
      <c r="D8" s="8" t="s">
        <v>7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10"/>
      <c r="X8" s="6"/>
      <c r="Y8" s="6"/>
      <c r="AA8" s="9" t="str">
        <f>+D8&amp;" (CONT'D.)"</f>
        <v>Functional Classification of Plant in Service for the Allocation of O&amp;M Expense (CONT'D.)</v>
      </c>
      <c r="AB8" s="9"/>
      <c r="AC8" s="9"/>
      <c r="AD8" s="9"/>
      <c r="AE8" s="9"/>
      <c r="AF8" s="9"/>
      <c r="AG8" s="9"/>
      <c r="AH8" s="11"/>
      <c r="AI8" s="11"/>
    </row>
    <row r="9" spans="1:42" ht="17.25" customHeight="1" x14ac:dyDescent="0.3">
      <c r="D9" s="6"/>
      <c r="E9" s="1">
        <f t="shared" ref="E9:V9" si="0">MAX(D9)+NoOne</f>
        <v>1</v>
      </c>
      <c r="F9" s="1">
        <f t="shared" si="0"/>
        <v>2</v>
      </c>
      <c r="G9" s="1">
        <f t="shared" si="0"/>
        <v>3</v>
      </c>
      <c r="H9" s="1">
        <f t="shared" si="0"/>
        <v>4</v>
      </c>
      <c r="I9" s="1">
        <f t="shared" si="0"/>
        <v>5</v>
      </c>
      <c r="J9" s="1">
        <f t="shared" si="0"/>
        <v>6</v>
      </c>
      <c r="K9" s="1">
        <f t="shared" si="0"/>
        <v>7</v>
      </c>
      <c r="L9" s="1">
        <f t="shared" si="0"/>
        <v>8</v>
      </c>
      <c r="M9" s="1">
        <f t="shared" si="0"/>
        <v>9</v>
      </c>
      <c r="N9" s="1">
        <f t="shared" si="0"/>
        <v>10</v>
      </c>
      <c r="O9" s="1">
        <f t="shared" si="0"/>
        <v>11</v>
      </c>
      <c r="P9" s="1">
        <f t="shared" si="0"/>
        <v>12</v>
      </c>
      <c r="Q9" s="1">
        <f t="shared" si="0"/>
        <v>13</v>
      </c>
      <c r="R9" s="1">
        <f t="shared" si="0"/>
        <v>14</v>
      </c>
      <c r="S9" s="1">
        <f t="shared" si="0"/>
        <v>15</v>
      </c>
      <c r="T9" s="1">
        <f t="shared" si="0"/>
        <v>16</v>
      </c>
      <c r="U9" s="1">
        <f t="shared" si="0"/>
        <v>17</v>
      </c>
      <c r="V9" s="1">
        <f t="shared" si="0"/>
        <v>18</v>
      </c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42" s="12" customFormat="1" ht="16.5" x14ac:dyDescent="0.3">
      <c r="D10" s="13"/>
      <c r="E10" s="13"/>
      <c r="F10" s="13"/>
      <c r="G10" s="13"/>
      <c r="H10" s="13"/>
      <c r="I10" s="13"/>
      <c r="J10" s="13" t="s">
        <v>8</v>
      </c>
      <c r="K10" s="14" t="s">
        <v>9</v>
      </c>
      <c r="L10" s="14"/>
      <c r="M10" s="14"/>
      <c r="N10" s="14"/>
      <c r="O10" s="14"/>
      <c r="P10" s="14"/>
      <c r="Q10" s="14"/>
      <c r="R10" s="14"/>
      <c r="S10" s="14"/>
      <c r="T10" s="14"/>
      <c r="U10" s="6"/>
      <c r="V10" s="13" t="s">
        <v>10</v>
      </c>
      <c r="X10" s="13"/>
      <c r="Y10" s="13"/>
      <c r="Z10" s="13"/>
      <c r="AA10" s="13"/>
      <c r="AB10" s="13"/>
      <c r="AC10" s="1">
        <v>1</v>
      </c>
      <c r="AD10" s="13"/>
      <c r="AE10" s="1">
        <v>19</v>
      </c>
      <c r="AF10" s="13"/>
      <c r="AG10" s="13"/>
      <c r="AH10" s="13"/>
      <c r="AI10" s="13"/>
    </row>
    <row r="11" spans="1:42" s="12" customFormat="1" ht="16.5" x14ac:dyDescent="0.3">
      <c r="A11" s="15" t="s">
        <v>11</v>
      </c>
      <c r="B11" s="15" t="s">
        <v>12</v>
      </c>
      <c r="C11" s="15" t="s">
        <v>13</v>
      </c>
      <c r="D11" s="1" t="s">
        <v>14</v>
      </c>
      <c r="E11" s="1"/>
      <c r="F11" s="1" t="s">
        <v>15</v>
      </c>
      <c r="G11" s="13" t="s">
        <v>16</v>
      </c>
      <c r="H11" s="1" t="s">
        <v>16</v>
      </c>
      <c r="I11" s="1" t="s">
        <v>17</v>
      </c>
      <c r="J11" s="1" t="s">
        <v>17</v>
      </c>
      <c r="K11" s="1" t="s">
        <v>18</v>
      </c>
      <c r="L11" s="1" t="s">
        <v>19</v>
      </c>
      <c r="M11" s="1"/>
      <c r="N11" s="1" t="s">
        <v>20</v>
      </c>
      <c r="O11" s="1"/>
      <c r="P11" s="1" t="s">
        <v>21</v>
      </c>
      <c r="Q11" s="1"/>
      <c r="R11" s="1" t="s">
        <v>22</v>
      </c>
      <c r="S11" s="1" t="s">
        <v>23</v>
      </c>
      <c r="T11" s="1" t="s">
        <v>24</v>
      </c>
      <c r="U11" s="1" t="s">
        <v>25</v>
      </c>
      <c r="V11" s="1" t="s">
        <v>26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s="12" customFormat="1" ht="16.5" x14ac:dyDescent="0.3">
      <c r="A12" s="15" t="s">
        <v>27</v>
      </c>
      <c r="B12" s="15" t="s">
        <v>28</v>
      </c>
      <c r="C12" s="15" t="s">
        <v>29</v>
      </c>
      <c r="D12" s="1" t="s">
        <v>30</v>
      </c>
      <c r="E12" s="13" t="s">
        <v>31</v>
      </c>
      <c r="F12" s="13" t="s">
        <v>32</v>
      </c>
      <c r="G12" s="13" t="s">
        <v>33</v>
      </c>
      <c r="H12" s="13" t="s">
        <v>34</v>
      </c>
      <c r="I12" s="13" t="s">
        <v>33</v>
      </c>
      <c r="J12" s="13" t="s">
        <v>33</v>
      </c>
      <c r="K12" s="13" t="s">
        <v>33</v>
      </c>
      <c r="L12" s="13" t="s">
        <v>33</v>
      </c>
      <c r="M12" s="13" t="s">
        <v>35</v>
      </c>
      <c r="N12" s="13" t="s">
        <v>33</v>
      </c>
      <c r="O12" s="13" t="s">
        <v>35</v>
      </c>
      <c r="P12" s="13" t="s">
        <v>33</v>
      </c>
      <c r="Q12" s="13" t="s">
        <v>35</v>
      </c>
      <c r="R12" s="13" t="s">
        <v>35</v>
      </c>
      <c r="S12" s="13" t="s">
        <v>35</v>
      </c>
      <c r="T12" s="13" t="s">
        <v>35</v>
      </c>
      <c r="U12" s="13" t="s">
        <v>35</v>
      </c>
      <c r="V12" s="13" t="s">
        <v>35</v>
      </c>
      <c r="X12" s="13"/>
      <c r="Y12" s="13"/>
      <c r="Z12" s="16"/>
      <c r="AA12" s="13"/>
      <c r="AB12" s="13"/>
      <c r="AC12" s="13" t="s">
        <v>31</v>
      </c>
      <c r="AD12" s="13"/>
      <c r="AE12" s="17" t="s">
        <v>36</v>
      </c>
      <c r="AF12" s="13"/>
      <c r="AG12" s="13"/>
      <c r="AH12" s="13"/>
      <c r="AI12" s="13"/>
    </row>
    <row r="13" spans="1:42" ht="17.25" customHeight="1" x14ac:dyDescent="0.3">
      <c r="A13" s="18">
        <f>ROUND(SUM(A14:A635),2)</f>
        <v>0</v>
      </c>
      <c r="B13" s="18"/>
      <c r="C13" s="19"/>
      <c r="D13" s="1"/>
      <c r="E13" s="20" t="s">
        <v>16</v>
      </c>
      <c r="F13" s="13" t="s">
        <v>37</v>
      </c>
      <c r="G13" s="13" t="s">
        <v>37</v>
      </c>
      <c r="H13" s="13" t="s">
        <v>37</v>
      </c>
      <c r="I13" s="13" t="s">
        <v>37</v>
      </c>
      <c r="J13" s="13" t="s">
        <v>37</v>
      </c>
      <c r="K13" s="13" t="s">
        <v>37</v>
      </c>
      <c r="L13" s="13" t="s">
        <v>37</v>
      </c>
      <c r="M13" s="13" t="s">
        <v>37</v>
      </c>
      <c r="N13" s="13" t="s">
        <v>37</v>
      </c>
      <c r="O13" s="13" t="s">
        <v>37</v>
      </c>
      <c r="P13" s="13" t="s">
        <v>37</v>
      </c>
      <c r="Q13" s="13" t="s">
        <v>37</v>
      </c>
      <c r="R13" s="13" t="s">
        <v>37</v>
      </c>
      <c r="S13" s="13" t="s">
        <v>37</v>
      </c>
      <c r="T13" s="13" t="s">
        <v>37</v>
      </c>
      <c r="U13" s="13" t="s">
        <v>37</v>
      </c>
      <c r="V13" s="13" t="s">
        <v>37</v>
      </c>
      <c r="X13" s="6"/>
      <c r="Y13" s="6"/>
      <c r="Z13" s="16"/>
      <c r="AA13" s="6"/>
      <c r="AB13" s="6"/>
      <c r="AC13" s="20" t="str">
        <f>IF(ISBLANK(E13),"",E13)</f>
        <v>Production</v>
      </c>
      <c r="AD13" s="6"/>
      <c r="AE13" s="6"/>
      <c r="AF13" s="6"/>
      <c r="AG13" s="6"/>
      <c r="AH13" s="6"/>
      <c r="AI13" s="6"/>
    </row>
    <row r="14" spans="1:42" ht="16.5" x14ac:dyDescent="0.3">
      <c r="A14" s="19"/>
      <c r="B14" s="19"/>
      <c r="C14" s="19"/>
      <c r="D14" s="1"/>
      <c r="E14" s="21" t="s">
        <v>38</v>
      </c>
      <c r="F14" s="22" t="s">
        <v>39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X14" s="6"/>
      <c r="Y14" s="6"/>
      <c r="Z14" s="16"/>
      <c r="AA14" s="6"/>
      <c r="AB14" s="6"/>
      <c r="AC14" s="21" t="str">
        <f t="shared" ref="AC14:AC58" si="1">IF(ISBLANK(E14),"",E14)</f>
        <v>Hydraulic</v>
      </c>
      <c r="AD14" s="6"/>
      <c r="AE14" s="6"/>
      <c r="AF14" s="6"/>
      <c r="AG14" s="6"/>
      <c r="AH14" s="6"/>
      <c r="AI14" s="6"/>
    </row>
    <row r="15" spans="1:42" ht="16.5" x14ac:dyDescent="0.3">
      <c r="A15" s="19"/>
      <c r="B15" s="19"/>
      <c r="C15" s="24" t="s">
        <v>40</v>
      </c>
      <c r="D15" s="1">
        <f t="shared" ref="D15:D29" si="2">MAX(D12:D14)+NoOne</f>
        <v>1</v>
      </c>
      <c r="E15" s="6" t="s">
        <v>41</v>
      </c>
      <c r="F15" s="22">
        <v>1114924927.3215888</v>
      </c>
      <c r="G15" s="23">
        <v>554259463.99380755</v>
      </c>
      <c r="H15" s="23">
        <v>560665463.3277812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3">
        <v>0</v>
      </c>
      <c r="X15" s="6"/>
      <c r="Y15" s="6"/>
      <c r="Z15" s="25"/>
      <c r="AA15" s="6"/>
      <c r="AB15" s="6"/>
      <c r="AC15" s="6" t="str">
        <f t="shared" si="1"/>
        <v>Bay D'Espoir</v>
      </c>
      <c r="AD15" s="6"/>
      <c r="AE15" s="6" t="s">
        <v>501</v>
      </c>
      <c r="AF15" s="6"/>
      <c r="AG15" s="6"/>
      <c r="AH15" s="6"/>
      <c r="AI15" s="6"/>
    </row>
    <row r="16" spans="1:42" ht="16.5" x14ac:dyDescent="0.3">
      <c r="A16" s="19"/>
      <c r="B16" s="19"/>
      <c r="C16" s="26" t="s">
        <v>42</v>
      </c>
      <c r="D16" s="1">
        <f t="shared" si="2"/>
        <v>2</v>
      </c>
      <c r="E16" s="6" t="s">
        <v>43</v>
      </c>
      <c r="F16" s="22">
        <v>700314.78</v>
      </c>
      <c r="G16" s="23">
        <v>348145.49847963132</v>
      </c>
      <c r="H16" s="23">
        <v>352169.28152036871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23">
        <v>0</v>
      </c>
      <c r="X16" s="6"/>
      <c r="Y16" s="6"/>
      <c r="Z16" s="25"/>
      <c r="AA16" s="6"/>
      <c r="AB16" s="6"/>
      <c r="AC16" s="6" t="str">
        <f t="shared" si="1"/>
        <v>Upper Salmon</v>
      </c>
      <c r="AD16" s="6"/>
      <c r="AE16" s="6" t="s">
        <v>501</v>
      </c>
      <c r="AF16" s="6"/>
      <c r="AG16" s="6"/>
      <c r="AH16" s="6"/>
      <c r="AI16" s="6"/>
    </row>
    <row r="17" spans="1:35" ht="16.5" x14ac:dyDescent="0.3">
      <c r="A17" s="19"/>
      <c r="B17" s="19"/>
      <c r="C17" s="24" t="s">
        <v>44</v>
      </c>
      <c r="D17" s="1">
        <f t="shared" si="2"/>
        <v>3</v>
      </c>
      <c r="E17" s="6" t="s">
        <v>45</v>
      </c>
      <c r="F17" s="22">
        <v>2313263.2000000002</v>
      </c>
      <c r="G17" s="23">
        <v>1149985.96756531</v>
      </c>
      <c r="H17" s="23">
        <v>1163277.2324346902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3">
        <v>0</v>
      </c>
      <c r="X17" s="6"/>
      <c r="Y17" s="6"/>
      <c r="Z17" s="25"/>
      <c r="AA17" s="6"/>
      <c r="AB17" s="6"/>
      <c r="AC17" s="6" t="str">
        <f t="shared" si="1"/>
        <v>Hinds Lake</v>
      </c>
      <c r="AD17" s="6"/>
      <c r="AE17" s="6" t="s">
        <v>501</v>
      </c>
      <c r="AF17" s="6"/>
      <c r="AG17" s="6"/>
      <c r="AH17" s="6"/>
      <c r="AI17" s="6"/>
    </row>
    <row r="18" spans="1:35" ht="16.5" x14ac:dyDescent="0.3">
      <c r="A18" s="19"/>
      <c r="B18" s="19"/>
      <c r="C18" s="24" t="s">
        <v>46</v>
      </c>
      <c r="D18" s="1">
        <f t="shared" si="2"/>
        <v>4</v>
      </c>
      <c r="E18" s="6" t="s">
        <v>47</v>
      </c>
      <c r="F18" s="22">
        <v>1149439.01</v>
      </c>
      <c r="G18" s="23">
        <v>571417.3519347742</v>
      </c>
      <c r="H18" s="23">
        <v>578021.65806522581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23">
        <v>0</v>
      </c>
      <c r="X18" s="6"/>
      <c r="Y18" s="6"/>
      <c r="Z18" s="25"/>
      <c r="AA18" s="6"/>
      <c r="AB18" s="6"/>
      <c r="AC18" s="6" t="str">
        <f t="shared" si="1"/>
        <v>Cat Arm</v>
      </c>
      <c r="AD18" s="6"/>
      <c r="AE18" s="6" t="s">
        <v>501</v>
      </c>
      <c r="AF18" s="6"/>
      <c r="AG18" s="6"/>
      <c r="AH18" s="6"/>
      <c r="AI18" s="6"/>
    </row>
    <row r="19" spans="1:35" ht="16.5" x14ac:dyDescent="0.3">
      <c r="A19" s="19"/>
      <c r="B19" s="19"/>
      <c r="C19" s="24" t="s">
        <v>48</v>
      </c>
      <c r="D19" s="1">
        <f t="shared" si="2"/>
        <v>5</v>
      </c>
      <c r="E19" s="6" t="s">
        <v>49</v>
      </c>
      <c r="F19" s="22">
        <v>219265.38</v>
      </c>
      <c r="G19" s="23">
        <v>109002.77589375708</v>
      </c>
      <c r="H19" s="23">
        <v>110262.60410624293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3">
        <v>0</v>
      </c>
      <c r="X19" s="6"/>
      <c r="Y19" s="6"/>
      <c r="Z19" s="25"/>
      <c r="AA19" s="6"/>
      <c r="AB19" s="6"/>
      <c r="AC19" s="6" t="str">
        <f t="shared" si="1"/>
        <v>Paradise River</v>
      </c>
      <c r="AD19" s="6"/>
      <c r="AE19" s="6" t="s">
        <v>501</v>
      </c>
      <c r="AF19" s="6"/>
      <c r="AG19" s="6"/>
      <c r="AH19" s="6"/>
      <c r="AI19" s="6"/>
    </row>
    <row r="20" spans="1:35" ht="16.5" x14ac:dyDescent="0.3">
      <c r="A20" s="19"/>
      <c r="B20" s="19"/>
      <c r="C20" s="24" t="s">
        <v>50</v>
      </c>
      <c r="D20" s="1">
        <f t="shared" si="2"/>
        <v>6</v>
      </c>
      <c r="E20" s="6" t="s">
        <v>51</v>
      </c>
      <c r="F20" s="22">
        <v>1090425.46</v>
      </c>
      <c r="G20" s="23">
        <v>542080.11335499911</v>
      </c>
      <c r="H20" s="23">
        <v>548345.34664500086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X20" s="6"/>
      <c r="Y20" s="6"/>
      <c r="Z20" s="25"/>
      <c r="AA20" s="6"/>
      <c r="AB20" s="6"/>
      <c r="AC20" s="6" t="str">
        <f t="shared" si="1"/>
        <v>Granite Canal</v>
      </c>
      <c r="AD20" s="6"/>
      <c r="AE20" s="6" t="s">
        <v>501</v>
      </c>
      <c r="AF20" s="6"/>
      <c r="AG20" s="6"/>
      <c r="AH20" s="6"/>
      <c r="AI20" s="6"/>
    </row>
    <row r="21" spans="1:35" ht="16.5" x14ac:dyDescent="0.3">
      <c r="A21" s="19"/>
      <c r="B21" s="19"/>
      <c r="C21" s="24" t="s">
        <v>52</v>
      </c>
      <c r="D21" s="1">
        <f t="shared" si="2"/>
        <v>7</v>
      </c>
      <c r="E21" s="6" t="s">
        <v>53</v>
      </c>
      <c r="F21" s="22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X21" s="6"/>
      <c r="Y21" s="6"/>
      <c r="Z21" s="25"/>
      <c r="AA21" s="6"/>
      <c r="AB21" s="6"/>
      <c r="AC21" s="6" t="str">
        <f t="shared" si="1"/>
        <v>Exploits</v>
      </c>
      <c r="AD21" s="6"/>
      <c r="AE21" s="6" t="s">
        <v>501</v>
      </c>
      <c r="AF21" s="6"/>
      <c r="AG21" s="6"/>
      <c r="AH21" s="6"/>
      <c r="AI21" s="6"/>
    </row>
    <row r="22" spans="1:35" ht="16.5" x14ac:dyDescent="0.3">
      <c r="A22" s="19"/>
      <c r="B22" s="19"/>
      <c r="C22" s="24" t="s">
        <v>54</v>
      </c>
      <c r="D22" s="1">
        <f t="shared" si="2"/>
        <v>8</v>
      </c>
      <c r="E22" s="6" t="s">
        <v>55</v>
      </c>
      <c r="F22" s="22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X22" s="6"/>
      <c r="Y22" s="6"/>
      <c r="Z22" s="25"/>
      <c r="AA22" s="6"/>
      <c r="AB22" s="6"/>
      <c r="AC22" s="6" t="str">
        <f t="shared" si="1"/>
        <v>Star Lake</v>
      </c>
      <c r="AD22" s="6"/>
      <c r="AE22" s="6" t="s">
        <v>501</v>
      </c>
      <c r="AF22" s="6"/>
      <c r="AG22" s="6"/>
      <c r="AH22" s="6"/>
      <c r="AI22" s="6"/>
    </row>
    <row r="23" spans="1:35" ht="16.5" x14ac:dyDescent="0.3">
      <c r="A23" s="19"/>
      <c r="B23" s="19"/>
      <c r="C23" s="24" t="s">
        <v>56</v>
      </c>
      <c r="D23" s="1">
        <f t="shared" si="2"/>
        <v>9</v>
      </c>
      <c r="E23" s="27" t="s">
        <v>57</v>
      </c>
      <c r="F23" s="22">
        <v>282499.95</v>
      </c>
      <c r="G23" s="23">
        <v>140438.39816321016</v>
      </c>
      <c r="H23" s="23">
        <v>142061.55183678985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X23" s="6"/>
      <c r="Y23" s="6"/>
      <c r="Z23" s="25"/>
      <c r="AA23" s="6"/>
      <c r="AB23" s="6"/>
      <c r="AC23" s="27" t="str">
        <f t="shared" si="1"/>
        <v>Other Hydraulic</v>
      </c>
      <c r="AD23" s="27"/>
      <c r="AE23" s="6" t="s">
        <v>502</v>
      </c>
      <c r="AF23" s="6"/>
      <c r="AG23" s="6"/>
      <c r="AH23" s="6"/>
      <c r="AI23" s="6"/>
    </row>
    <row r="24" spans="1:35" ht="16.5" x14ac:dyDescent="0.3">
      <c r="A24" s="28">
        <f>SUM(G24:V24)-F24</f>
        <v>0</v>
      </c>
      <c r="B24" s="28"/>
      <c r="C24" s="29" t="s">
        <v>39</v>
      </c>
      <c r="D24" s="1">
        <v>10</v>
      </c>
      <c r="E24" s="20" t="s">
        <v>58</v>
      </c>
      <c r="F24" s="30">
        <f>SUM(F15:F23)</f>
        <v>1120680135.101589</v>
      </c>
      <c r="G24" s="30">
        <f>SUM(G15:G23)</f>
        <v>557120534.0991993</v>
      </c>
      <c r="H24" s="30">
        <f>SUM(H15:H23)</f>
        <v>563559601.00238955</v>
      </c>
      <c r="I24" s="30">
        <f>SUM(I15:I23)</f>
        <v>0</v>
      </c>
      <c r="J24" s="30">
        <f>SUM(J15:J23)</f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X24" s="6"/>
      <c r="Y24" s="6"/>
      <c r="Z24" s="25"/>
      <c r="AA24" s="6"/>
      <c r="AB24" s="6"/>
      <c r="AC24" s="20" t="str">
        <f t="shared" si="1"/>
        <v>Subtotal Hydraulic</v>
      </c>
      <c r="AD24" s="6"/>
      <c r="AE24" s="6"/>
      <c r="AF24" s="6"/>
      <c r="AG24" s="6"/>
      <c r="AH24" s="6"/>
      <c r="AI24" s="6"/>
    </row>
    <row r="25" spans="1:35" ht="16.5" x14ac:dyDescent="0.3">
      <c r="A25" s="28"/>
      <c r="B25" s="28"/>
      <c r="C25" s="24" t="s">
        <v>59</v>
      </c>
      <c r="D25" s="1">
        <v>11</v>
      </c>
      <c r="E25" s="6" t="s">
        <v>60</v>
      </c>
      <c r="F25" s="23">
        <v>437045122.5060088</v>
      </c>
      <c r="G25" s="23">
        <v>388270886.83433819</v>
      </c>
      <c r="H25" s="23">
        <v>48774235.671670586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  <c r="U25" s="23">
        <v>0</v>
      </c>
      <c r="V25" s="23">
        <v>0</v>
      </c>
      <c r="X25" s="6"/>
      <c r="Y25" s="6"/>
      <c r="Z25" s="25"/>
      <c r="AA25" s="6"/>
      <c r="AB25" s="6"/>
      <c r="AC25" s="6" t="str">
        <f t="shared" si="1"/>
        <v>Holyrood</v>
      </c>
      <c r="AD25" s="6"/>
      <c r="AE25" s="6" t="s">
        <v>503</v>
      </c>
      <c r="AF25" s="6"/>
      <c r="AG25" s="6"/>
      <c r="AH25" s="6"/>
      <c r="AI25" s="6"/>
    </row>
    <row r="26" spans="1:35" ht="16.5" x14ac:dyDescent="0.3">
      <c r="A26" s="28"/>
      <c r="B26" s="28"/>
      <c r="C26" s="24" t="s">
        <v>61</v>
      </c>
      <c r="D26" s="1">
        <f t="shared" si="2"/>
        <v>12</v>
      </c>
      <c r="E26" s="6" t="s">
        <v>62</v>
      </c>
      <c r="F26" s="23">
        <v>200469523.85782176</v>
      </c>
      <c r="G26" s="23">
        <v>200469523.85782176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  <c r="X26" s="6"/>
      <c r="Y26" s="6"/>
      <c r="Z26" s="25"/>
      <c r="AA26" s="6"/>
      <c r="AB26" s="6"/>
      <c r="AC26" s="6" t="str">
        <f t="shared" si="1"/>
        <v>Gas Turbines</v>
      </c>
      <c r="AD26" s="6"/>
      <c r="AE26" s="6" t="s">
        <v>504</v>
      </c>
      <c r="AF26" s="6"/>
      <c r="AG26" s="6"/>
      <c r="AH26" s="6"/>
      <c r="AI26" s="6"/>
    </row>
    <row r="27" spans="1:35" ht="16.5" x14ac:dyDescent="0.3">
      <c r="A27" s="28"/>
      <c r="B27" s="28"/>
      <c r="C27" s="26" t="s">
        <v>63</v>
      </c>
      <c r="D27" s="1">
        <f t="shared" si="2"/>
        <v>13</v>
      </c>
      <c r="E27" s="6" t="s">
        <v>64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0</v>
      </c>
      <c r="V27" s="23">
        <v>0</v>
      </c>
      <c r="X27" s="6"/>
      <c r="Y27" s="6"/>
      <c r="Z27" s="25"/>
      <c r="AA27" s="6"/>
      <c r="AB27" s="6"/>
      <c r="AC27" s="6" t="str">
        <f t="shared" si="1"/>
        <v>Roddickton</v>
      </c>
      <c r="AD27" s="6"/>
      <c r="AE27" s="6" t="s">
        <v>503</v>
      </c>
      <c r="AF27" s="6"/>
      <c r="AG27" s="6"/>
      <c r="AH27" s="6"/>
      <c r="AI27" s="6"/>
    </row>
    <row r="28" spans="1:35" ht="16.5" x14ac:dyDescent="0.3">
      <c r="A28" s="28"/>
      <c r="B28" s="28"/>
      <c r="C28" s="26" t="s">
        <v>520</v>
      </c>
      <c r="D28" s="1">
        <f t="shared" si="2"/>
        <v>14</v>
      </c>
      <c r="E28" s="6" t="s">
        <v>65</v>
      </c>
      <c r="F28" s="23">
        <f>SUM(G28:V28)</f>
        <v>12942772.871691592</v>
      </c>
      <c r="G28" s="23">
        <v>12942772.871691592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  <c r="U28" s="23">
        <v>0</v>
      </c>
      <c r="V28" s="23">
        <v>0</v>
      </c>
      <c r="X28" s="6"/>
      <c r="Y28" s="6"/>
      <c r="Z28" s="25"/>
      <c r="AA28" s="6"/>
      <c r="AB28" s="6"/>
      <c r="AC28" s="6" t="str">
        <f t="shared" si="1"/>
        <v>Diesel</v>
      </c>
      <c r="AD28" s="6"/>
      <c r="AE28" s="6" t="s">
        <v>505</v>
      </c>
      <c r="AF28" s="6"/>
      <c r="AG28" s="6"/>
      <c r="AH28" s="6"/>
      <c r="AI28" s="6"/>
    </row>
    <row r="29" spans="1:35" ht="16.5" x14ac:dyDescent="0.3">
      <c r="A29" s="28">
        <f>SUM(G29:V29)-F29</f>
        <v>0</v>
      </c>
      <c r="B29" s="28"/>
      <c r="C29" s="29" t="s">
        <v>39</v>
      </c>
      <c r="D29" s="1">
        <f t="shared" si="2"/>
        <v>15</v>
      </c>
      <c r="E29" s="20" t="s">
        <v>66</v>
      </c>
      <c r="F29" s="30">
        <f>SUM(F24:F28)</f>
        <v>1771137554.3371112</v>
      </c>
      <c r="G29" s="30">
        <f>SUM(G24:G28)</f>
        <v>1158803717.6630509</v>
      </c>
      <c r="H29" s="30">
        <f>SUM(H24:H28)</f>
        <v>612333836.67406011</v>
      </c>
      <c r="I29" s="30">
        <f>SUM(I24:I28)</f>
        <v>0</v>
      </c>
      <c r="J29" s="30">
        <f>SUM(J24:J28)</f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X29" s="6"/>
      <c r="Y29" s="6"/>
      <c r="Z29" s="25"/>
      <c r="AA29" s="6"/>
      <c r="AB29" s="6"/>
      <c r="AC29" s="20" t="str">
        <f t="shared" si="1"/>
        <v>Subtotal Production</v>
      </c>
      <c r="AD29" s="6"/>
      <c r="AE29" s="6"/>
      <c r="AF29" s="6"/>
      <c r="AG29" s="6"/>
      <c r="AH29" s="6"/>
      <c r="AI29" s="6"/>
    </row>
    <row r="30" spans="1:35" ht="16.5" x14ac:dyDescent="0.3">
      <c r="A30" s="28"/>
      <c r="B30" s="28"/>
      <c r="C30" s="26"/>
      <c r="D30" s="1"/>
      <c r="E30" s="20" t="s">
        <v>17</v>
      </c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X30" s="6"/>
      <c r="Y30" s="6"/>
      <c r="Z30" s="25"/>
      <c r="AA30" s="6"/>
      <c r="AB30" s="6"/>
      <c r="AC30" s="20" t="str">
        <f t="shared" si="1"/>
        <v>Transmission</v>
      </c>
      <c r="AD30" s="6"/>
      <c r="AE30" s="6"/>
      <c r="AF30" s="6"/>
      <c r="AG30" s="6"/>
      <c r="AH30" s="6"/>
      <c r="AI30" s="6"/>
    </row>
    <row r="31" spans="1:35" ht="16.5" customHeight="1" x14ac:dyDescent="0.3">
      <c r="A31" s="28"/>
      <c r="B31" s="28"/>
      <c r="C31" s="26" t="s">
        <v>521</v>
      </c>
      <c r="D31" s="1">
        <f t="shared" ref="D31:D38" si="3">MAX(D28:D30)+NoOne</f>
        <v>16</v>
      </c>
      <c r="E31" s="6" t="s">
        <v>67</v>
      </c>
      <c r="F31" s="22">
        <f>SUM(G31:V31)</f>
        <v>678735396.47137809</v>
      </c>
      <c r="G31" s="22">
        <v>16819819.194052048</v>
      </c>
      <c r="H31" s="22">
        <v>17014218.672192231</v>
      </c>
      <c r="I31" s="22">
        <v>510359668.22534925</v>
      </c>
      <c r="J31" s="22">
        <v>93873902.307968155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40667788.071816415</v>
      </c>
      <c r="X31" s="6"/>
      <c r="Y31" s="6"/>
      <c r="Z31" s="25"/>
      <c r="AA31" s="6"/>
      <c r="AB31" s="6"/>
      <c r="AC31" s="6" t="str">
        <f t="shared" si="1"/>
        <v>Lines</v>
      </c>
      <c r="AD31" s="6"/>
      <c r="AE31" s="27" t="s">
        <v>506</v>
      </c>
      <c r="AF31" s="6"/>
      <c r="AG31" s="6"/>
      <c r="AH31" s="6"/>
      <c r="AI31" s="6"/>
    </row>
    <row r="32" spans="1:35" ht="16.5" customHeight="1" x14ac:dyDescent="0.3">
      <c r="A32" s="28"/>
      <c r="B32" s="28"/>
      <c r="C32" s="26" t="s">
        <v>522</v>
      </c>
      <c r="D32" s="1">
        <f t="shared" si="3"/>
        <v>17</v>
      </c>
      <c r="E32" s="27" t="s">
        <v>68</v>
      </c>
      <c r="F32" s="22">
        <f>SUM(G32:V32)</f>
        <v>364335330.02055377</v>
      </c>
      <c r="G32" s="22">
        <v>0</v>
      </c>
      <c r="H32" s="22">
        <v>0</v>
      </c>
      <c r="I32" s="22">
        <v>311535933.7370398</v>
      </c>
      <c r="J32" s="22">
        <v>30123467.053792328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22675929.229721624</v>
      </c>
      <c r="X32" s="6"/>
      <c r="Y32" s="6"/>
      <c r="Z32" s="25"/>
      <c r="AA32" s="6"/>
      <c r="AB32" s="6"/>
      <c r="AC32" s="27" t="str">
        <f t="shared" si="1"/>
        <v xml:space="preserve">Terminal Stations </v>
      </c>
      <c r="AD32" s="27"/>
      <c r="AE32" s="6" t="str">
        <f>+"Production - Demand, Energy subtotals, L. "&amp;D29&amp;"; Transmission - Demand; Spec Assigned - Custmr"</f>
        <v>Production - Demand, Energy subtotals, L. 15; Transmission - Demand; Spec Assigned - Custmr</v>
      </c>
      <c r="AF32" s="6"/>
      <c r="AG32" s="6"/>
      <c r="AH32" s="6"/>
      <c r="AI32" s="6"/>
    </row>
    <row r="33" spans="1:42" ht="16.5" customHeight="1" x14ac:dyDescent="0.3">
      <c r="A33" s="32"/>
      <c r="B33" s="32"/>
      <c r="C33" s="26" t="s">
        <v>523</v>
      </c>
      <c r="D33" s="1">
        <v>18</v>
      </c>
      <c r="E33" s="33" t="s">
        <v>69</v>
      </c>
      <c r="F33" s="22">
        <f>SUM(G33:V33)</f>
        <v>55383108.328889243</v>
      </c>
      <c r="G33" s="22">
        <v>27532447.418163255</v>
      </c>
      <c r="H33" s="22">
        <v>27850660.910725988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  <c r="V33" s="22">
        <v>0</v>
      </c>
      <c r="X33" s="6"/>
      <c r="Y33" s="6"/>
      <c r="Z33" s="25"/>
      <c r="AA33" s="6"/>
      <c r="AB33" s="6"/>
      <c r="AC33" s="33" t="str">
        <f t="shared" si="1"/>
        <v>Term Stns - Hydraulic</v>
      </c>
      <c r="AD33" s="33"/>
      <c r="AE33" s="6" t="s">
        <v>507</v>
      </c>
      <c r="AF33" s="6"/>
      <c r="AG33" s="6"/>
      <c r="AH33" s="6"/>
      <c r="AI33" s="6"/>
    </row>
    <row r="34" spans="1:42" ht="16.5" customHeight="1" x14ac:dyDescent="0.3">
      <c r="A34" s="32"/>
      <c r="B34" s="32"/>
      <c r="C34" s="26" t="s">
        <v>70</v>
      </c>
      <c r="D34" s="1">
        <v>19</v>
      </c>
      <c r="E34" s="33" t="s">
        <v>71</v>
      </c>
      <c r="F34" s="22">
        <v>15948999.195075396</v>
      </c>
      <c r="G34" s="22">
        <v>14169090.884904983</v>
      </c>
      <c r="H34" s="22">
        <v>1779908.3101704144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X34" s="6"/>
      <c r="Y34" s="6"/>
      <c r="Z34" s="25"/>
      <c r="AA34" s="6"/>
      <c r="AB34" s="6"/>
      <c r="AC34" s="33" t="str">
        <f t="shared" si="1"/>
        <v>Term Stns - Holyrood</v>
      </c>
      <c r="AD34" s="33"/>
      <c r="AE34" s="6" t="s">
        <v>508</v>
      </c>
      <c r="AF34" s="6"/>
      <c r="AG34" s="6"/>
      <c r="AH34" s="6"/>
      <c r="AI34" s="6"/>
    </row>
    <row r="35" spans="1:42" ht="16.5" customHeight="1" x14ac:dyDescent="0.3">
      <c r="A35" s="32"/>
      <c r="B35" s="32"/>
      <c r="C35" s="26" t="s">
        <v>524</v>
      </c>
      <c r="D35" s="1">
        <v>20</v>
      </c>
      <c r="E35" s="33" t="s">
        <v>72</v>
      </c>
      <c r="F35" s="23">
        <f>SUM(G35:V35)</f>
        <v>453488.19000000006</v>
      </c>
      <c r="G35" s="23">
        <v>453488.19000000006</v>
      </c>
      <c r="H35" s="23">
        <v>0</v>
      </c>
      <c r="I35" s="34">
        <v>0</v>
      </c>
      <c r="J35" s="23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X35" s="6"/>
      <c r="Y35" s="6"/>
      <c r="Z35" s="25"/>
      <c r="AA35" s="6"/>
      <c r="AB35" s="6"/>
      <c r="AC35" s="33" t="str">
        <f t="shared" si="1"/>
        <v>Term Stns - Gas Tur/Dsl</v>
      </c>
      <c r="AD35" s="33"/>
      <c r="AE35" s="6" t="s">
        <v>509</v>
      </c>
      <c r="AF35" s="6"/>
      <c r="AG35" s="6"/>
      <c r="AH35" s="6"/>
      <c r="AI35" s="6"/>
    </row>
    <row r="36" spans="1:42" ht="16.5" customHeight="1" x14ac:dyDescent="0.3">
      <c r="A36" s="32"/>
      <c r="B36" s="32"/>
      <c r="C36" s="26" t="s">
        <v>73</v>
      </c>
      <c r="D36" s="1">
        <f t="shared" si="3"/>
        <v>21</v>
      </c>
      <c r="E36" s="35" t="s">
        <v>74</v>
      </c>
      <c r="F36" s="22">
        <v>19394860.186696097</v>
      </c>
      <c r="G36" s="34">
        <v>0</v>
      </c>
      <c r="H36" s="34">
        <v>0</v>
      </c>
      <c r="I36" s="34">
        <v>0</v>
      </c>
      <c r="J36" s="34">
        <v>0</v>
      </c>
      <c r="K36" s="34">
        <f>F36</f>
        <v>19394860.186696097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X36" s="6"/>
      <c r="Y36" s="6"/>
      <c r="Z36" s="25"/>
      <c r="AA36" s="6"/>
      <c r="AB36" s="6"/>
      <c r="AC36" s="35" t="str">
        <f t="shared" si="1"/>
        <v>Term Stns - Distribution</v>
      </c>
      <c r="AD36" s="36"/>
      <c r="AE36" s="6" t="s">
        <v>75</v>
      </c>
      <c r="AF36" s="6"/>
      <c r="AG36" s="6"/>
      <c r="AH36" s="6"/>
      <c r="AI36" s="6"/>
      <c r="AP36" s="1"/>
    </row>
    <row r="37" spans="1:42" ht="16.5" customHeight="1" x14ac:dyDescent="0.3">
      <c r="A37" s="28">
        <f>SUM(G37:V37)-F37</f>
        <v>0</v>
      </c>
      <c r="B37" s="28"/>
      <c r="C37" s="29"/>
      <c r="D37" s="1">
        <f t="shared" si="3"/>
        <v>22</v>
      </c>
      <c r="E37" s="37" t="s">
        <v>76</v>
      </c>
      <c r="F37" s="38">
        <f t="shared" ref="F37:V37" si="4">SUM(F32:F36)</f>
        <v>455515785.92121452</v>
      </c>
      <c r="G37" s="30">
        <f t="shared" si="4"/>
        <v>42155026.493068233</v>
      </c>
      <c r="H37" s="30">
        <f t="shared" si="4"/>
        <v>29630569.220896404</v>
      </c>
      <c r="I37" s="30">
        <f t="shared" si="4"/>
        <v>311535933.7370398</v>
      </c>
      <c r="J37" s="30">
        <f t="shared" si="4"/>
        <v>30123467.053792328</v>
      </c>
      <c r="K37" s="30">
        <f t="shared" si="4"/>
        <v>19394860.186696097</v>
      </c>
      <c r="L37" s="30">
        <f t="shared" si="4"/>
        <v>0</v>
      </c>
      <c r="M37" s="30">
        <f t="shared" si="4"/>
        <v>0</v>
      </c>
      <c r="N37" s="30">
        <f t="shared" si="4"/>
        <v>0</v>
      </c>
      <c r="O37" s="30">
        <f t="shared" si="4"/>
        <v>0</v>
      </c>
      <c r="P37" s="30">
        <f t="shared" si="4"/>
        <v>0</v>
      </c>
      <c r="Q37" s="30">
        <f t="shared" si="4"/>
        <v>0</v>
      </c>
      <c r="R37" s="30">
        <f t="shared" si="4"/>
        <v>0</v>
      </c>
      <c r="S37" s="30">
        <f t="shared" si="4"/>
        <v>0</v>
      </c>
      <c r="T37" s="30">
        <f t="shared" si="4"/>
        <v>0</v>
      </c>
      <c r="U37" s="30">
        <f t="shared" si="4"/>
        <v>0</v>
      </c>
      <c r="V37" s="30">
        <f t="shared" si="4"/>
        <v>22675929.229721624</v>
      </c>
      <c r="X37" s="6"/>
      <c r="Y37" s="6"/>
      <c r="Z37" s="25"/>
      <c r="AA37" s="6"/>
      <c r="AB37" s="6"/>
      <c r="AC37" s="37" t="str">
        <f t="shared" si="1"/>
        <v>Subtotal Term Stns</v>
      </c>
      <c r="AD37" s="36"/>
      <c r="AE37" s="6"/>
      <c r="AF37" s="6"/>
      <c r="AG37" s="6"/>
      <c r="AH37" s="6"/>
      <c r="AI37" s="6"/>
    </row>
    <row r="38" spans="1:42" ht="18.75" customHeight="1" x14ac:dyDescent="0.3">
      <c r="A38" s="28">
        <f>SUM(G38:V38)-F38</f>
        <v>0</v>
      </c>
      <c r="B38" s="28"/>
      <c r="C38" s="29" t="s">
        <v>39</v>
      </c>
      <c r="D38" s="1">
        <f t="shared" si="3"/>
        <v>23</v>
      </c>
      <c r="E38" s="37" t="s">
        <v>77</v>
      </c>
      <c r="F38" s="30">
        <f t="shared" ref="F38:V38" si="5">SUM(F31,F37)</f>
        <v>1134251182.3925927</v>
      </c>
      <c r="G38" s="30">
        <f t="shared" si="5"/>
        <v>58974845.687120281</v>
      </c>
      <c r="H38" s="30">
        <f t="shared" si="5"/>
        <v>46644787.893088639</v>
      </c>
      <c r="I38" s="30">
        <f t="shared" si="5"/>
        <v>821895601.96238899</v>
      </c>
      <c r="J38" s="30">
        <f t="shared" si="5"/>
        <v>123997369.36176048</v>
      </c>
      <c r="K38" s="30">
        <f t="shared" si="5"/>
        <v>19394860.186696097</v>
      </c>
      <c r="L38" s="30">
        <f t="shared" si="5"/>
        <v>0</v>
      </c>
      <c r="M38" s="30">
        <f t="shared" si="5"/>
        <v>0</v>
      </c>
      <c r="N38" s="30">
        <f t="shared" si="5"/>
        <v>0</v>
      </c>
      <c r="O38" s="30">
        <f t="shared" si="5"/>
        <v>0</v>
      </c>
      <c r="P38" s="30">
        <f t="shared" si="5"/>
        <v>0</v>
      </c>
      <c r="Q38" s="30">
        <f t="shared" si="5"/>
        <v>0</v>
      </c>
      <c r="R38" s="30">
        <f t="shared" si="5"/>
        <v>0</v>
      </c>
      <c r="S38" s="30">
        <f t="shared" si="5"/>
        <v>0</v>
      </c>
      <c r="T38" s="30">
        <f t="shared" si="5"/>
        <v>0</v>
      </c>
      <c r="U38" s="30">
        <f t="shared" si="5"/>
        <v>0</v>
      </c>
      <c r="V38" s="30">
        <f t="shared" si="5"/>
        <v>63343717.301538035</v>
      </c>
      <c r="X38" s="6"/>
      <c r="Y38" s="6"/>
      <c r="Z38" s="25"/>
      <c r="AA38" s="6"/>
      <c r="AB38" s="6"/>
      <c r="AC38" s="37" t="str">
        <f t="shared" si="1"/>
        <v>Subtotal Transmission</v>
      </c>
      <c r="AD38" s="36"/>
      <c r="AE38" s="6"/>
      <c r="AF38" s="6"/>
      <c r="AG38" s="6"/>
      <c r="AH38" s="6"/>
      <c r="AI38" s="6"/>
    </row>
    <row r="39" spans="1:42" ht="17.25" customHeight="1" x14ac:dyDescent="0.3">
      <c r="A39" s="32"/>
      <c r="B39" s="32"/>
      <c r="C39" s="26"/>
      <c r="D39" s="1"/>
      <c r="E39" s="37" t="s">
        <v>9</v>
      </c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X39" s="6"/>
      <c r="Y39" s="6"/>
      <c r="Z39" s="25"/>
      <c r="AA39" s="6"/>
      <c r="AB39" s="6"/>
      <c r="AC39" s="39" t="str">
        <f t="shared" si="1"/>
        <v>Distribution</v>
      </c>
      <c r="AD39" s="36"/>
      <c r="AE39" s="6"/>
      <c r="AF39" s="6"/>
      <c r="AG39" s="6"/>
      <c r="AH39" s="6"/>
      <c r="AI39" s="6"/>
    </row>
    <row r="40" spans="1:42" ht="16.5" customHeight="1" x14ac:dyDescent="0.3">
      <c r="A40" s="32"/>
      <c r="B40" s="32"/>
      <c r="C40" s="26" t="s">
        <v>525</v>
      </c>
      <c r="D40" s="1">
        <f t="shared" ref="D40:D56" si="6">MAX(D37:D39)+NoOne</f>
        <v>24</v>
      </c>
      <c r="E40" s="36" t="s">
        <v>18</v>
      </c>
      <c r="F40" s="22">
        <f>SUM(G40:V40)</f>
        <v>44549496.550059222</v>
      </c>
      <c r="G40" s="22">
        <v>0</v>
      </c>
      <c r="H40" s="22">
        <v>0</v>
      </c>
      <c r="I40" s="22">
        <v>0</v>
      </c>
      <c r="J40" s="22">
        <v>0</v>
      </c>
      <c r="K40" s="22">
        <v>44549496.550059222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X40" s="6"/>
      <c r="Y40" s="6"/>
      <c r="Z40" s="25"/>
      <c r="AA40" s="6"/>
      <c r="AB40" s="6"/>
      <c r="AC40" s="36" t="str">
        <f t="shared" si="1"/>
        <v>Substations</v>
      </c>
      <c r="AD40" s="36"/>
      <c r="AE40" s="6" t="s">
        <v>78</v>
      </c>
      <c r="AF40" s="6"/>
      <c r="AG40" s="6"/>
      <c r="AH40" s="6"/>
      <c r="AI40" s="6"/>
    </row>
    <row r="41" spans="1:42" ht="16.5" customHeight="1" x14ac:dyDescent="0.3">
      <c r="A41" s="32"/>
      <c r="B41" s="32"/>
      <c r="C41" s="26" t="s">
        <v>79</v>
      </c>
      <c r="D41" s="1">
        <f t="shared" si="6"/>
        <v>25</v>
      </c>
      <c r="E41" s="36" t="s">
        <v>80</v>
      </c>
      <c r="F41" s="22">
        <v>3384051.3899999987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2551405.5454904991</v>
      </c>
      <c r="M41" s="22">
        <v>325038.13600949984</v>
      </c>
      <c r="N41" s="22">
        <v>0</v>
      </c>
      <c r="O41" s="22">
        <v>0</v>
      </c>
      <c r="P41" s="22">
        <v>295935.29405549983</v>
      </c>
      <c r="Q41" s="22">
        <v>211672.41444449991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X41" s="6"/>
      <c r="Y41" s="6"/>
      <c r="Z41" s="25"/>
      <c r="AA41" s="6"/>
      <c r="AB41" s="6" t="s">
        <v>39</v>
      </c>
      <c r="AC41" s="36" t="str">
        <f t="shared" si="1"/>
        <v>Land &amp; Land Improvements</v>
      </c>
      <c r="AD41" s="36"/>
      <c r="AE41" s="6" t="s">
        <v>510</v>
      </c>
      <c r="AF41" s="6"/>
      <c r="AG41" s="6"/>
      <c r="AH41" s="6"/>
      <c r="AI41" s="6"/>
    </row>
    <row r="42" spans="1:42" ht="16.5" customHeight="1" x14ac:dyDescent="0.3">
      <c r="A42" s="32"/>
      <c r="B42" s="32"/>
      <c r="C42" s="26" t="s">
        <v>79</v>
      </c>
      <c r="D42" s="1">
        <f t="shared" si="6"/>
        <v>26</v>
      </c>
      <c r="E42" s="36" t="s">
        <v>81</v>
      </c>
      <c r="F42" s="22">
        <v>160253235.82534122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92682138.433114439</v>
      </c>
      <c r="M42" s="22">
        <v>31674372.567350347</v>
      </c>
      <c r="N42" s="22">
        <v>0</v>
      </c>
      <c r="O42" s="22">
        <v>0</v>
      </c>
      <c r="P42" s="22">
        <v>16404803.244968528</v>
      </c>
      <c r="Q42" s="22">
        <v>19491921.579907905</v>
      </c>
      <c r="R42" s="22">
        <v>0</v>
      </c>
      <c r="S42" s="22">
        <v>0</v>
      </c>
      <c r="T42" s="22">
        <v>0</v>
      </c>
      <c r="U42" s="22">
        <v>0</v>
      </c>
      <c r="V42" s="22">
        <v>0</v>
      </c>
      <c r="X42" s="6"/>
      <c r="Y42" s="6"/>
      <c r="Z42" s="25"/>
      <c r="AA42" s="6"/>
      <c r="AB42" s="6"/>
      <c r="AC42" s="36" t="str">
        <f t="shared" si="1"/>
        <v>Poles</v>
      </c>
      <c r="AD42" s="36"/>
      <c r="AE42" s="6" t="s">
        <v>511</v>
      </c>
      <c r="AF42" s="6"/>
      <c r="AG42" s="6"/>
      <c r="AH42" s="6"/>
      <c r="AI42" s="6"/>
    </row>
    <row r="43" spans="1:42" ht="16.5" customHeight="1" x14ac:dyDescent="0.3">
      <c r="A43" s="32"/>
      <c r="B43" s="32"/>
      <c r="C43" s="26" t="s">
        <v>79</v>
      </c>
      <c r="D43" s="1">
        <f t="shared" si="6"/>
        <v>27</v>
      </c>
      <c r="E43" s="36" t="s">
        <v>82</v>
      </c>
      <c r="F43" s="22">
        <v>25812930.058310699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22896068.961721592</v>
      </c>
      <c r="M43" s="22">
        <v>2916861.0965891089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X43" s="6"/>
      <c r="Y43" s="6"/>
      <c r="Z43" s="25"/>
      <c r="AA43" s="6"/>
      <c r="AB43" s="6"/>
      <c r="AC43" s="36" t="str">
        <f t="shared" si="1"/>
        <v>Primary Conductor &amp; Eqpt</v>
      </c>
      <c r="AD43" s="36"/>
      <c r="AE43" s="27" t="s">
        <v>512</v>
      </c>
      <c r="AF43" s="6"/>
      <c r="AG43" s="6"/>
      <c r="AH43" s="6"/>
      <c r="AI43" s="6"/>
    </row>
    <row r="44" spans="1:42" ht="16.5" customHeight="1" x14ac:dyDescent="0.3">
      <c r="A44" s="32"/>
      <c r="B44" s="32"/>
      <c r="C44" s="24" t="s">
        <v>83</v>
      </c>
      <c r="D44" s="1">
        <f t="shared" si="6"/>
        <v>28</v>
      </c>
      <c r="E44" s="36" t="s">
        <v>84</v>
      </c>
      <c r="F44" s="22">
        <v>9854684.4300000016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9854684.4300000016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X44" s="6"/>
      <c r="Y44" s="6"/>
      <c r="Z44" s="25"/>
      <c r="AA44" s="6"/>
      <c r="AB44" s="6"/>
      <c r="AC44" s="36" t="str">
        <f t="shared" si="1"/>
        <v>Submarine Conductor</v>
      </c>
      <c r="AD44" s="36"/>
      <c r="AE44" s="27" t="s">
        <v>513</v>
      </c>
      <c r="AF44" s="6"/>
      <c r="AG44" s="6"/>
      <c r="AH44" s="6"/>
      <c r="AI44" s="6"/>
    </row>
    <row r="45" spans="1:42" ht="16.5" customHeight="1" x14ac:dyDescent="0.3">
      <c r="A45" s="32"/>
      <c r="B45" s="32"/>
      <c r="C45" s="26" t="s">
        <v>79</v>
      </c>
      <c r="D45" s="1">
        <f t="shared" si="6"/>
        <v>29</v>
      </c>
      <c r="E45" s="36" t="s">
        <v>85</v>
      </c>
      <c r="F45" s="22">
        <v>29563425.296188358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10672396.531923996</v>
      </c>
      <c r="O45" s="22">
        <v>18891028.76426436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0</v>
      </c>
      <c r="V45" s="22">
        <v>0</v>
      </c>
      <c r="X45" s="6"/>
      <c r="Y45" s="6"/>
      <c r="Z45" s="25"/>
      <c r="AA45" s="6"/>
      <c r="AB45" s="6"/>
      <c r="AC45" s="36" t="str">
        <f t="shared" si="1"/>
        <v>Transformers</v>
      </c>
      <c r="AD45" s="36"/>
      <c r="AE45" s="6" t="s">
        <v>514</v>
      </c>
      <c r="AF45" s="6"/>
      <c r="AG45" s="6"/>
      <c r="AH45" s="6"/>
      <c r="AI45" s="6"/>
    </row>
    <row r="46" spans="1:42" ht="16.5" customHeight="1" x14ac:dyDescent="0.3">
      <c r="A46" s="32"/>
      <c r="B46" s="32"/>
      <c r="C46" s="26" t="s">
        <v>79</v>
      </c>
      <c r="D46" s="1">
        <f t="shared" si="6"/>
        <v>30</v>
      </c>
      <c r="E46" s="36" t="s">
        <v>86</v>
      </c>
      <c r="F46" s="22">
        <v>3070255.3678515726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1789958.8794574668</v>
      </c>
      <c r="Q46" s="22">
        <v>1280296.4883941058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X46" s="6"/>
      <c r="Y46" s="6"/>
      <c r="Z46" s="25"/>
      <c r="AA46" s="6"/>
      <c r="AB46" s="6"/>
      <c r="AC46" s="36" t="str">
        <f t="shared" si="1"/>
        <v>Secondary Conductor&amp;Eqpt</v>
      </c>
      <c r="AD46" s="36"/>
      <c r="AE46" s="6" t="s">
        <v>515</v>
      </c>
      <c r="AF46" s="6"/>
      <c r="AG46" s="6"/>
      <c r="AH46" s="6"/>
      <c r="AI46" s="6"/>
    </row>
    <row r="47" spans="1:42" ht="16.5" customHeight="1" x14ac:dyDescent="0.3">
      <c r="A47" s="32"/>
      <c r="B47" s="32"/>
      <c r="C47" s="26" t="s">
        <v>79</v>
      </c>
      <c r="D47" s="1">
        <f t="shared" si="6"/>
        <v>31</v>
      </c>
      <c r="E47" s="36" t="s">
        <v>22</v>
      </c>
      <c r="F47" s="22">
        <v>6162248.809609619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6162248.809609619</v>
      </c>
      <c r="S47" s="22">
        <v>0</v>
      </c>
      <c r="T47" s="22">
        <v>0</v>
      </c>
      <c r="U47" s="22">
        <v>0</v>
      </c>
      <c r="V47" s="22">
        <v>0</v>
      </c>
      <c r="X47" s="6"/>
      <c r="Y47" s="6"/>
      <c r="Z47" s="25"/>
      <c r="AA47" s="6"/>
      <c r="AB47" s="6"/>
      <c r="AC47" s="36" t="str">
        <f t="shared" si="1"/>
        <v>Services</v>
      </c>
      <c r="AD47" s="36"/>
      <c r="AE47" s="6" t="s">
        <v>87</v>
      </c>
      <c r="AF47" s="6"/>
      <c r="AG47" s="6"/>
      <c r="AH47" s="6"/>
      <c r="AI47" s="6"/>
    </row>
    <row r="48" spans="1:42" ht="16.5" customHeight="1" x14ac:dyDescent="0.3">
      <c r="A48" s="32"/>
      <c r="B48" s="32"/>
      <c r="C48" s="26" t="s">
        <v>528</v>
      </c>
      <c r="D48" s="1">
        <f t="shared" si="6"/>
        <v>32</v>
      </c>
      <c r="E48" s="36" t="s">
        <v>23</v>
      </c>
      <c r="F48" s="22">
        <v>9766092.7701142989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22">
        <v>9766092.7701142989</v>
      </c>
      <c r="T48" s="22">
        <v>0</v>
      </c>
      <c r="U48" s="22">
        <v>0</v>
      </c>
      <c r="V48" s="22">
        <v>0</v>
      </c>
      <c r="X48" s="6"/>
      <c r="Y48" s="6"/>
      <c r="Z48" s="25"/>
      <c r="AA48" s="6"/>
      <c r="AB48" s="6"/>
      <c r="AC48" s="36" t="str">
        <f t="shared" si="1"/>
        <v>Meters</v>
      </c>
      <c r="AD48" s="36"/>
      <c r="AE48" s="6" t="s">
        <v>88</v>
      </c>
      <c r="AF48" s="6"/>
      <c r="AG48" s="6"/>
      <c r="AH48" s="6"/>
      <c r="AI48" s="6"/>
    </row>
    <row r="49" spans="1:42" ht="16.5" customHeight="1" x14ac:dyDescent="0.3">
      <c r="A49" s="32"/>
      <c r="B49" s="32"/>
      <c r="C49" s="26" t="s">
        <v>79</v>
      </c>
      <c r="D49" s="1">
        <f t="shared" si="6"/>
        <v>33</v>
      </c>
      <c r="E49" s="36" t="s">
        <v>24</v>
      </c>
      <c r="F49" s="34">
        <v>5258083.6537711592</v>
      </c>
      <c r="G49" s="34">
        <v>0</v>
      </c>
      <c r="H49" s="34">
        <v>0</v>
      </c>
      <c r="I49" s="22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34">
        <v>5258083.6537711592</v>
      </c>
      <c r="U49" s="34">
        <v>0</v>
      </c>
      <c r="V49" s="34">
        <v>0</v>
      </c>
      <c r="X49" s="6"/>
      <c r="Y49" s="6"/>
      <c r="Z49" s="25"/>
      <c r="AA49" s="6"/>
      <c r="AB49" s="6"/>
      <c r="AC49" s="36" t="str">
        <f t="shared" si="1"/>
        <v>Street Lighting</v>
      </c>
      <c r="AD49" s="36"/>
      <c r="AE49" s="6" t="s">
        <v>89</v>
      </c>
      <c r="AF49" s="6"/>
      <c r="AG49" s="6"/>
      <c r="AH49" s="6"/>
      <c r="AI49" s="6"/>
    </row>
    <row r="50" spans="1:42" ht="16.5" x14ac:dyDescent="0.3">
      <c r="A50" s="28">
        <f>SUM(G50:V50)-F50</f>
        <v>0</v>
      </c>
      <c r="B50" s="28"/>
      <c r="C50" s="29" t="s">
        <v>39</v>
      </c>
      <c r="D50" s="1">
        <f t="shared" si="6"/>
        <v>34</v>
      </c>
      <c r="E50" s="39" t="s">
        <v>90</v>
      </c>
      <c r="F50" s="31">
        <f>SUM(F40:F49)</f>
        <v>297674504.15124613</v>
      </c>
      <c r="G50" s="31">
        <f>SUM(G40:G49)</f>
        <v>0</v>
      </c>
      <c r="H50" s="31">
        <f>SUM(H40:H49)</f>
        <v>0</v>
      </c>
      <c r="I50" s="31">
        <f>SUM(I40:I49)</f>
        <v>0</v>
      </c>
      <c r="J50" s="31">
        <f t="shared" ref="J50:V50" si="7">SUM(J40:J49)</f>
        <v>0</v>
      </c>
      <c r="K50" s="31">
        <f t="shared" si="7"/>
        <v>44549496.550059222</v>
      </c>
      <c r="L50" s="31">
        <f t="shared" si="7"/>
        <v>127984297.37032655</v>
      </c>
      <c r="M50" s="31">
        <f t="shared" si="7"/>
        <v>34916271.799948953</v>
      </c>
      <c r="N50" s="31">
        <f t="shared" si="7"/>
        <v>10672396.531923996</v>
      </c>
      <c r="O50" s="31">
        <f t="shared" si="7"/>
        <v>18891028.76426436</v>
      </c>
      <c r="P50" s="31">
        <f t="shared" si="7"/>
        <v>18490697.418481495</v>
      </c>
      <c r="Q50" s="31">
        <f t="shared" si="7"/>
        <v>20983890.482746512</v>
      </c>
      <c r="R50" s="31">
        <f t="shared" si="7"/>
        <v>6162248.809609619</v>
      </c>
      <c r="S50" s="31">
        <f t="shared" si="7"/>
        <v>9766092.7701142989</v>
      </c>
      <c r="T50" s="31">
        <f t="shared" si="7"/>
        <v>5258083.6537711592</v>
      </c>
      <c r="U50" s="31">
        <f t="shared" si="7"/>
        <v>0</v>
      </c>
      <c r="V50" s="31">
        <f t="shared" si="7"/>
        <v>0</v>
      </c>
      <c r="X50" s="6"/>
      <c r="Y50" s="6"/>
      <c r="Z50" s="25"/>
      <c r="AA50" s="6"/>
      <c r="AB50" s="6"/>
      <c r="AC50" s="39" t="str">
        <f t="shared" si="1"/>
        <v>Subtotal Distribution</v>
      </c>
      <c r="AD50" s="36"/>
      <c r="AE50" s="6"/>
      <c r="AF50" s="6"/>
      <c r="AG50" s="6"/>
      <c r="AH50" s="6"/>
      <c r="AI50" s="6"/>
    </row>
    <row r="51" spans="1:42" ht="16.5" x14ac:dyDescent="0.3">
      <c r="A51" s="28">
        <f>SUM(G51:V51)-F51</f>
        <v>0</v>
      </c>
      <c r="B51" s="28"/>
      <c r="C51" s="29" t="s">
        <v>39</v>
      </c>
      <c r="D51" s="1">
        <f t="shared" si="6"/>
        <v>35</v>
      </c>
      <c r="E51" s="39" t="s">
        <v>91</v>
      </c>
      <c r="F51" s="40">
        <f t="shared" ref="F51:V51" si="8">SUM(F50,F38,F29)</f>
        <v>3203063240.88095</v>
      </c>
      <c r="G51" s="40">
        <f t="shared" si="8"/>
        <v>1217778563.3501711</v>
      </c>
      <c r="H51" s="40">
        <f t="shared" si="8"/>
        <v>658978624.56714869</v>
      </c>
      <c r="I51" s="40">
        <f t="shared" si="8"/>
        <v>821895601.96238899</v>
      </c>
      <c r="J51" s="40">
        <f t="shared" si="8"/>
        <v>123997369.36176048</v>
      </c>
      <c r="K51" s="40">
        <f t="shared" si="8"/>
        <v>63944356.736755319</v>
      </c>
      <c r="L51" s="40">
        <f t="shared" si="8"/>
        <v>127984297.37032655</v>
      </c>
      <c r="M51" s="40">
        <f t="shared" si="8"/>
        <v>34916271.799948953</v>
      </c>
      <c r="N51" s="40">
        <f t="shared" si="8"/>
        <v>10672396.531923996</v>
      </c>
      <c r="O51" s="40">
        <f t="shared" si="8"/>
        <v>18891028.76426436</v>
      </c>
      <c r="P51" s="40">
        <f t="shared" si="8"/>
        <v>18490697.418481495</v>
      </c>
      <c r="Q51" s="40">
        <f t="shared" si="8"/>
        <v>20983890.482746512</v>
      </c>
      <c r="R51" s="40">
        <f t="shared" si="8"/>
        <v>6162248.809609619</v>
      </c>
      <c r="S51" s="40">
        <f t="shared" si="8"/>
        <v>9766092.7701142989</v>
      </c>
      <c r="T51" s="40">
        <f t="shared" si="8"/>
        <v>5258083.6537711592</v>
      </c>
      <c r="U51" s="40">
        <f t="shared" si="8"/>
        <v>0</v>
      </c>
      <c r="V51" s="40">
        <f t="shared" si="8"/>
        <v>63343717.301538035</v>
      </c>
      <c r="X51" s="6"/>
      <c r="Y51" s="6"/>
      <c r="Z51" s="25"/>
      <c r="AA51" s="6"/>
      <c r="AB51" s="6"/>
      <c r="AC51" s="37" t="str">
        <f t="shared" si="1"/>
        <v>Subttl Prod, Trans, &amp; Dist</v>
      </c>
      <c r="AD51" s="36"/>
      <c r="AE51" s="6"/>
      <c r="AF51" s="6"/>
      <c r="AG51" s="6"/>
      <c r="AH51" s="6"/>
      <c r="AI51" s="6"/>
    </row>
    <row r="52" spans="1:42" ht="16.5" x14ac:dyDescent="0.3">
      <c r="A52" s="19"/>
      <c r="B52" s="26" t="str">
        <f>IF(OverheadAlloc="Expenses","E-GTDC","L-GTDC")</f>
        <v>E-GTDC</v>
      </c>
      <c r="C52" s="26" t="s">
        <v>529</v>
      </c>
      <c r="D52" s="1">
        <f t="shared" si="6"/>
        <v>36</v>
      </c>
      <c r="E52" s="6" t="s">
        <v>92</v>
      </c>
      <c r="F52" s="22">
        <v>233673560.37378234</v>
      </c>
      <c r="G52" s="22">
        <f t="shared" ref="G52:V52" si="9">$F52*VLOOKUP($B52,RatiosIslInt,G$561,FALSE)</f>
        <v>109613188.71113729</v>
      </c>
      <c r="H52" s="22">
        <f t="shared" si="9"/>
        <v>38726936.458705202</v>
      </c>
      <c r="I52" s="22">
        <f t="shared" si="9"/>
        <v>47661907.775961466</v>
      </c>
      <c r="J52" s="22">
        <f t="shared" si="9"/>
        <v>6622265.1242753835</v>
      </c>
      <c r="K52" s="22">
        <f t="shared" si="9"/>
        <v>4454820.038502994</v>
      </c>
      <c r="L52" s="22">
        <f t="shared" si="9"/>
        <v>8401746.3874874245</v>
      </c>
      <c r="M52" s="22">
        <f t="shared" si="9"/>
        <v>2292137.9144732938</v>
      </c>
      <c r="N52" s="22">
        <f t="shared" si="9"/>
        <v>700607.58116655645</v>
      </c>
      <c r="O52" s="22">
        <f t="shared" si="9"/>
        <v>1240133.6409014668</v>
      </c>
      <c r="P52" s="22">
        <f t="shared" si="9"/>
        <v>1213853.2103538285</v>
      </c>
      <c r="Q52" s="22">
        <f t="shared" si="9"/>
        <v>1377523.0999527534</v>
      </c>
      <c r="R52" s="22">
        <f t="shared" si="9"/>
        <v>404531.28031111218</v>
      </c>
      <c r="S52" s="22">
        <f t="shared" si="9"/>
        <v>1239176.7510189347</v>
      </c>
      <c r="T52" s="22">
        <f t="shared" si="9"/>
        <v>345175.82430718624</v>
      </c>
      <c r="U52" s="22">
        <f t="shared" si="9"/>
        <v>7543899.3673740365</v>
      </c>
      <c r="V52" s="22">
        <f t="shared" si="9"/>
        <v>1835657.2078534074</v>
      </c>
      <c r="X52" s="6"/>
      <c r="Y52" s="6"/>
      <c r="Z52" s="25"/>
      <c r="AA52" s="6"/>
      <c r="AB52" s="6"/>
      <c r="AC52" s="6" t="str">
        <f t="shared" si="1"/>
        <v>General</v>
      </c>
      <c r="AD52" s="6"/>
      <c r="AE52" s="27" t="str">
        <f>+"Prorated on Subtotal Production, Transmission, Distribution, Accounting Expenses - Sch F 2.4 L."&amp;$D$250&amp;", "&amp;$D$252</f>
        <v>Prorated on Subtotal Production, Transmission, Distribution, Accounting Expenses - Sch F 2.4 L.15, 16</v>
      </c>
      <c r="AF52" s="6"/>
      <c r="AG52" s="6"/>
      <c r="AH52" s="6"/>
      <c r="AI52" s="6"/>
    </row>
    <row r="53" spans="1:42" ht="16.5" x14ac:dyDescent="0.3">
      <c r="A53" s="28"/>
      <c r="B53" s="28"/>
      <c r="C53" s="26" t="s">
        <v>93</v>
      </c>
      <c r="D53" s="1">
        <f t="shared" si="6"/>
        <v>37</v>
      </c>
      <c r="E53" s="6" t="s">
        <v>94</v>
      </c>
      <c r="F53" s="22">
        <v>1935320.4049999949</v>
      </c>
      <c r="G53" s="23">
        <f t="shared" ref="G53:V53" si="10">$F53*(G$51/SUM($G$51:$V$51))</f>
        <v>735793.05970086576</v>
      </c>
      <c r="H53" s="23">
        <f t="shared" si="10"/>
        <v>398160.97362875484</v>
      </c>
      <c r="I53" s="23">
        <f t="shared" si="10"/>
        <v>496596.91665035271</v>
      </c>
      <c r="J53" s="23">
        <f t="shared" si="10"/>
        <v>74920.356248144264</v>
      </c>
      <c r="K53" s="23">
        <f t="shared" si="10"/>
        <v>38635.771157364128</v>
      </c>
      <c r="L53" s="23">
        <f t="shared" si="10"/>
        <v>77329.294988336522</v>
      </c>
      <c r="M53" s="23">
        <f t="shared" si="10"/>
        <v>21096.734032132925</v>
      </c>
      <c r="N53" s="23">
        <f t="shared" si="10"/>
        <v>6448.3605927190529</v>
      </c>
      <c r="O53" s="23">
        <f t="shared" si="10"/>
        <v>11414.134123954225</v>
      </c>
      <c r="P53" s="23">
        <f t="shared" si="10"/>
        <v>11172.250225951137</v>
      </c>
      <c r="Q53" s="23">
        <f t="shared" si="10"/>
        <v>12678.660511359512</v>
      </c>
      <c r="R53" s="23">
        <f t="shared" si="10"/>
        <v>3723.2876671658832</v>
      </c>
      <c r="S53" s="23">
        <f t="shared" si="10"/>
        <v>5900.7634859956279</v>
      </c>
      <c r="T53" s="23">
        <f t="shared" si="10"/>
        <v>3176.9827259300355</v>
      </c>
      <c r="U53" s="23">
        <f t="shared" si="10"/>
        <v>0</v>
      </c>
      <c r="V53" s="23">
        <f t="shared" si="10"/>
        <v>38272.859260968362</v>
      </c>
      <c r="X53" s="6"/>
      <c r="Y53" s="6"/>
      <c r="Z53" s="25"/>
      <c r="AA53" s="6"/>
      <c r="AB53" s="6"/>
      <c r="AC53" s="6"/>
      <c r="AD53" s="6"/>
      <c r="AE53" s="6"/>
      <c r="AF53" s="6"/>
      <c r="AG53" s="6"/>
      <c r="AH53" s="6"/>
      <c r="AI53" s="6"/>
    </row>
    <row r="54" spans="1:42" ht="16.5" x14ac:dyDescent="0.3">
      <c r="A54" s="28"/>
      <c r="B54" s="28"/>
      <c r="C54" s="26" t="s">
        <v>526</v>
      </c>
      <c r="D54" s="1">
        <f t="shared" si="6"/>
        <v>38</v>
      </c>
      <c r="E54" s="6" t="s">
        <v>95</v>
      </c>
      <c r="F54" s="34">
        <f>SUM(G54:V54)</f>
        <v>0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34">
        <v>0</v>
      </c>
      <c r="U54" s="22">
        <v>0</v>
      </c>
      <c r="V54" s="22">
        <v>0</v>
      </c>
      <c r="X54" s="6"/>
      <c r="Y54" s="6"/>
      <c r="Z54" s="25"/>
      <c r="AA54" s="6"/>
      <c r="AB54" s="6"/>
      <c r="AC54" s="6" t="str">
        <f t="shared" si="1"/>
        <v>Telecontrol - Custmr &amp; Spec</v>
      </c>
      <c r="AD54" s="6"/>
      <c r="AE54" s="6" t="s">
        <v>96</v>
      </c>
      <c r="AF54" s="6"/>
      <c r="AG54" s="6"/>
      <c r="AH54" s="6"/>
      <c r="AI54" s="6"/>
    </row>
    <row r="55" spans="1:42" ht="16.5" x14ac:dyDescent="0.3">
      <c r="A55" s="28"/>
      <c r="B55" s="28"/>
      <c r="C55" s="26" t="s">
        <v>527</v>
      </c>
      <c r="D55" s="1">
        <f t="shared" si="6"/>
        <v>39</v>
      </c>
      <c r="E55" s="6" t="s">
        <v>97</v>
      </c>
      <c r="F55" s="22">
        <f>SUM(G55:V55)</f>
        <v>-180126.59000000008</v>
      </c>
      <c r="G55" s="22">
        <v>-180126.59000000008</v>
      </c>
      <c r="H55" s="23">
        <v>0</v>
      </c>
      <c r="I55" s="34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>
        <v>0</v>
      </c>
      <c r="X55" s="6"/>
      <c r="Y55" s="6"/>
      <c r="Z55" s="25"/>
      <c r="AA55" s="6"/>
      <c r="AB55" s="6"/>
      <c r="AC55" s="6" t="str">
        <f t="shared" si="1"/>
        <v>Feasibility Studies</v>
      </c>
      <c r="AD55" s="6"/>
      <c r="AE55" s="6" t="s">
        <v>98</v>
      </c>
      <c r="AF55" s="6"/>
      <c r="AG55" s="6"/>
      <c r="AH55" s="6"/>
      <c r="AI55" s="6"/>
    </row>
    <row r="56" spans="1:42" ht="16.5" x14ac:dyDescent="0.3">
      <c r="A56" s="28"/>
      <c r="B56" s="28"/>
      <c r="C56" s="26" t="s">
        <v>99</v>
      </c>
      <c r="D56" s="1">
        <f t="shared" si="6"/>
        <v>40</v>
      </c>
      <c r="E56" s="6" t="s">
        <v>100</v>
      </c>
      <c r="F56" s="22">
        <v>0</v>
      </c>
      <c r="G56" s="23">
        <f t="shared" ref="G56:V57" si="11">$F56*(G$51/SUM($G$51:$V$51))</f>
        <v>0</v>
      </c>
      <c r="H56" s="23">
        <f t="shared" si="11"/>
        <v>0</v>
      </c>
      <c r="I56" s="23">
        <f t="shared" si="11"/>
        <v>0</v>
      </c>
      <c r="J56" s="23">
        <f t="shared" si="11"/>
        <v>0</v>
      </c>
      <c r="K56" s="23">
        <f t="shared" si="11"/>
        <v>0</v>
      </c>
      <c r="L56" s="23">
        <f t="shared" si="11"/>
        <v>0</v>
      </c>
      <c r="M56" s="23">
        <f t="shared" si="11"/>
        <v>0</v>
      </c>
      <c r="N56" s="23">
        <f t="shared" si="11"/>
        <v>0</v>
      </c>
      <c r="O56" s="23">
        <f t="shared" si="11"/>
        <v>0</v>
      </c>
      <c r="P56" s="23">
        <f t="shared" si="11"/>
        <v>0</v>
      </c>
      <c r="Q56" s="23">
        <f t="shared" si="11"/>
        <v>0</v>
      </c>
      <c r="R56" s="23">
        <f t="shared" si="11"/>
        <v>0</v>
      </c>
      <c r="S56" s="23">
        <f t="shared" si="11"/>
        <v>0</v>
      </c>
      <c r="T56" s="23">
        <f t="shared" si="11"/>
        <v>0</v>
      </c>
      <c r="U56" s="23">
        <f t="shared" si="11"/>
        <v>0</v>
      </c>
      <c r="V56" s="23">
        <f t="shared" si="11"/>
        <v>0</v>
      </c>
      <c r="X56" s="6"/>
      <c r="Y56" s="6"/>
      <c r="Z56" s="25"/>
      <c r="AA56" s="6"/>
      <c r="AB56" s="6"/>
      <c r="AC56" s="6" t="str">
        <f t="shared" si="1"/>
        <v>Feasibility Studies - General</v>
      </c>
      <c r="AD56" s="6"/>
      <c r="AE56" s="6" t="str">
        <f>+"Prorated on subtotal Production, Transmission, &amp; Distribution plant - L."&amp;$D$51</f>
        <v>Prorated on subtotal Production, Transmission, &amp; Distribution plant - L.35</v>
      </c>
      <c r="AF56" s="6"/>
      <c r="AG56" s="6"/>
      <c r="AH56" s="6"/>
      <c r="AI56" s="6"/>
    </row>
    <row r="57" spans="1:42" ht="16.5" x14ac:dyDescent="0.3">
      <c r="A57" s="28"/>
      <c r="B57" s="28"/>
      <c r="C57" s="26" t="s">
        <v>530</v>
      </c>
      <c r="D57" s="1">
        <v>41</v>
      </c>
      <c r="E57" s="6" t="s">
        <v>101</v>
      </c>
      <c r="F57" s="22">
        <v>13917263.201105686</v>
      </c>
      <c r="G57" s="22">
        <f t="shared" si="11"/>
        <v>5291230.1482212944</v>
      </c>
      <c r="H57" s="23">
        <f t="shared" si="11"/>
        <v>2863252.5405527856</v>
      </c>
      <c r="I57" s="23">
        <f t="shared" si="11"/>
        <v>3571124.4381162398</v>
      </c>
      <c r="J57" s="23">
        <f t="shared" si="11"/>
        <v>538766.76664607855</v>
      </c>
      <c r="K57" s="23">
        <f t="shared" si="11"/>
        <v>277837.30011089594</v>
      </c>
      <c r="L57" s="23">
        <f t="shared" si="11"/>
        <v>556089.91086342884</v>
      </c>
      <c r="M57" s="23">
        <f t="shared" si="11"/>
        <v>151710.6932011696</v>
      </c>
      <c r="N57" s="23">
        <f t="shared" si="11"/>
        <v>46371.407727966965</v>
      </c>
      <c r="O57" s="23">
        <f t="shared" si="11"/>
        <v>82081.245258091119</v>
      </c>
      <c r="P57" s="23">
        <f t="shared" si="11"/>
        <v>80341.811382480024</v>
      </c>
      <c r="Q57" s="23">
        <f t="shared" si="11"/>
        <v>91174.698989470955</v>
      </c>
      <c r="R57" s="23">
        <f t="shared" si="11"/>
        <v>26774.881463298847</v>
      </c>
      <c r="S57" s="23">
        <f t="shared" si="11"/>
        <v>42433.531062819173</v>
      </c>
      <c r="T57" s="23">
        <f t="shared" si="11"/>
        <v>22846.297009995422</v>
      </c>
      <c r="U57" s="23">
        <f t="shared" si="11"/>
        <v>0</v>
      </c>
      <c r="V57" s="23">
        <f t="shared" si="11"/>
        <v>275227.53049967106</v>
      </c>
      <c r="X57" s="6"/>
      <c r="Y57" s="6"/>
      <c r="Z57" s="25"/>
      <c r="AA57" s="6"/>
      <c r="AB57" s="6"/>
      <c r="AC57" s="6" t="str">
        <f t="shared" si="1"/>
        <v>Software - General</v>
      </c>
      <c r="AD57" s="6"/>
      <c r="AE57" s="6" t="str">
        <f>+"Prorated on subtotal Production, Transmission, &amp; Distribution plant - L."&amp;$D$51</f>
        <v>Prorated on subtotal Production, Transmission, &amp; Distribution plant - L.35</v>
      </c>
      <c r="AF57" s="6"/>
      <c r="AG57" s="6"/>
      <c r="AH57" s="6"/>
      <c r="AI57" s="6"/>
    </row>
    <row r="58" spans="1:42" ht="17.25" thickBot="1" x14ac:dyDescent="0.35">
      <c r="A58" s="28">
        <f>SUM(G58:V58)-F58</f>
        <v>0</v>
      </c>
      <c r="B58" s="28"/>
      <c r="C58" s="29" t="s">
        <v>39</v>
      </c>
      <c r="D58" s="1">
        <v>42</v>
      </c>
      <c r="E58" s="20" t="s">
        <v>102</v>
      </c>
      <c r="F58" s="41">
        <f t="shared" ref="F58:V58" si="12">SUM(F51:F57)</f>
        <v>3452409258.2708378</v>
      </c>
      <c r="G58" s="41">
        <f t="shared" si="12"/>
        <v>1333238648.6792307</v>
      </c>
      <c r="H58" s="41">
        <f t="shared" si="12"/>
        <v>700966974.54003537</v>
      </c>
      <c r="I58" s="41">
        <f t="shared" si="12"/>
        <v>873625231.093117</v>
      </c>
      <c r="J58" s="41">
        <f t="shared" si="12"/>
        <v>131233321.60893008</v>
      </c>
      <c r="K58" s="41">
        <f t="shared" si="12"/>
        <v>68715649.846526578</v>
      </c>
      <c r="L58" s="41">
        <f t="shared" si="12"/>
        <v>137019462.96366572</v>
      </c>
      <c r="M58" s="41">
        <f t="shared" si="12"/>
        <v>37381217.141655549</v>
      </c>
      <c r="N58" s="41">
        <f t="shared" si="12"/>
        <v>11425823.881411238</v>
      </c>
      <c r="O58" s="41">
        <f t="shared" si="12"/>
        <v>20224657.784547877</v>
      </c>
      <c r="P58" s="41">
        <f t="shared" si="12"/>
        <v>19796064.690443754</v>
      </c>
      <c r="Q58" s="41">
        <f t="shared" si="12"/>
        <v>22465266.942200094</v>
      </c>
      <c r="R58" s="41">
        <f t="shared" si="12"/>
        <v>6597278.2590511953</v>
      </c>
      <c r="S58" s="41">
        <f t="shared" si="12"/>
        <v>11053603.815682048</v>
      </c>
      <c r="T58" s="41">
        <f t="shared" si="12"/>
        <v>5629282.7578142714</v>
      </c>
      <c r="U58" s="41">
        <f t="shared" si="12"/>
        <v>7543899.3673740365</v>
      </c>
      <c r="V58" s="41">
        <f t="shared" si="12"/>
        <v>65492874.899152085</v>
      </c>
      <c r="X58" s="6"/>
      <c r="Y58" s="6"/>
      <c r="Z58" s="25"/>
      <c r="AA58" s="6"/>
      <c r="AB58" s="6"/>
      <c r="AC58" s="20" t="str">
        <f t="shared" si="1"/>
        <v>Total Plant</v>
      </c>
      <c r="AD58" s="6"/>
      <c r="AE58" s="6"/>
      <c r="AF58" s="6"/>
      <c r="AG58" s="6"/>
      <c r="AH58" s="6"/>
      <c r="AI58" s="6"/>
    </row>
    <row r="59" spans="1:42" ht="17.25" thickTop="1" x14ac:dyDescent="0.3">
      <c r="A59" s="28"/>
      <c r="B59" s="28"/>
      <c r="C59" s="26"/>
      <c r="D59" s="1"/>
      <c r="E59" s="6"/>
      <c r="F59" s="6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P59" s="1"/>
    </row>
    <row r="60" spans="1:42" ht="16.5" x14ac:dyDescent="0.3">
      <c r="A60" s="28"/>
      <c r="B60" s="28"/>
      <c r="C60" s="26"/>
      <c r="D60" s="1"/>
      <c r="E60" s="6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</row>
    <row r="61" spans="1:42" ht="16.5" x14ac:dyDescent="0.3">
      <c r="A61" s="28"/>
      <c r="B61" s="28"/>
      <c r="C61" s="26"/>
      <c r="D61" s="1"/>
      <c r="E61" s="6"/>
      <c r="F61" s="6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42" t="s">
        <v>103</v>
      </c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</row>
    <row r="62" spans="1:42" ht="16.5" x14ac:dyDescent="0.3">
      <c r="A62" s="28"/>
      <c r="B62" s="28"/>
      <c r="C62" s="26"/>
      <c r="D62" s="1"/>
      <c r="E62" s="6"/>
      <c r="F62" s="6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42" t="s">
        <v>104</v>
      </c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</row>
    <row r="63" spans="1:42" ht="16.5" x14ac:dyDescent="0.3">
      <c r="A63" s="43"/>
      <c r="B63" s="43"/>
      <c r="C63" s="44"/>
      <c r="D63" s="8" t="str">
        <f>D5</f>
        <v>NEWFOUNDLAND AND LABRADOR HYDRO</v>
      </c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10"/>
      <c r="X63" s="6"/>
      <c r="Y63" s="6"/>
      <c r="Z63" s="6"/>
      <c r="AA63" s="6"/>
      <c r="AB63" s="6"/>
      <c r="AC63" s="10"/>
      <c r="AD63" s="6"/>
      <c r="AE63" s="6"/>
      <c r="AF63" s="6"/>
      <c r="AG63" s="6"/>
      <c r="AH63" s="6"/>
      <c r="AI63" s="6"/>
    </row>
    <row r="64" spans="1:42" ht="16.5" x14ac:dyDescent="0.3">
      <c r="A64" s="43"/>
      <c r="B64" s="43"/>
      <c r="C64" s="44"/>
      <c r="D64" s="8" t="str">
        <f>D6</f>
        <v>2027 Test Year Cost of Service Study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10"/>
      <c r="X64" s="6"/>
      <c r="Y64" s="6"/>
      <c r="Z64" s="6"/>
      <c r="AA64" s="6"/>
      <c r="AB64" s="6"/>
      <c r="AC64" s="10"/>
      <c r="AD64" s="6"/>
      <c r="AE64" s="6"/>
      <c r="AF64" s="6"/>
      <c r="AG64" s="6"/>
      <c r="AH64" s="6"/>
      <c r="AI64" s="6"/>
    </row>
    <row r="65" spans="1:35" ht="16.5" x14ac:dyDescent="0.3">
      <c r="A65" s="43"/>
      <c r="B65" s="43"/>
      <c r="C65" s="44"/>
      <c r="D65" s="8" t="str">
        <f>$B$1</f>
        <v>Island Interconnected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10"/>
      <c r="X65" s="6"/>
      <c r="Y65" s="6"/>
      <c r="Z65" s="6"/>
      <c r="AA65" s="6"/>
      <c r="AB65" s="6"/>
      <c r="AC65" s="10"/>
      <c r="AD65" s="6"/>
      <c r="AE65" s="6"/>
      <c r="AF65" s="6"/>
      <c r="AG65" s="6"/>
      <c r="AH65" s="6"/>
      <c r="AI65" s="6"/>
    </row>
    <row r="66" spans="1:35" ht="16.5" x14ac:dyDescent="0.3">
      <c r="A66" s="43"/>
      <c r="B66" s="43"/>
      <c r="C66" s="44"/>
      <c r="D66" s="8" t="s">
        <v>105</v>
      </c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10"/>
      <c r="X66" s="6"/>
      <c r="Y66" s="6"/>
      <c r="Z66" s="6"/>
      <c r="AA66" s="6"/>
      <c r="AB66" s="6"/>
      <c r="AC66" s="10"/>
      <c r="AD66" s="6"/>
      <c r="AE66" s="6"/>
      <c r="AF66" s="6"/>
      <c r="AG66" s="6"/>
      <c r="AH66" s="6"/>
      <c r="AI66" s="6"/>
    </row>
    <row r="67" spans="1:35" ht="16.5" x14ac:dyDescent="0.3">
      <c r="A67" s="45"/>
      <c r="B67" s="45"/>
      <c r="C67" s="45"/>
      <c r="D67" s="1"/>
      <c r="E67" s="1">
        <f t="shared" ref="E67:V67" si="13">MAX(D67)+NoOne</f>
        <v>1</v>
      </c>
      <c r="F67" s="1">
        <f t="shared" si="13"/>
        <v>2</v>
      </c>
      <c r="G67" s="1">
        <f t="shared" si="13"/>
        <v>3</v>
      </c>
      <c r="H67" s="1">
        <f t="shared" si="13"/>
        <v>4</v>
      </c>
      <c r="I67" s="1">
        <f t="shared" si="13"/>
        <v>5</v>
      </c>
      <c r="J67" s="1">
        <f t="shared" si="13"/>
        <v>6</v>
      </c>
      <c r="K67" s="1">
        <f t="shared" si="13"/>
        <v>7</v>
      </c>
      <c r="L67" s="1">
        <f t="shared" si="13"/>
        <v>8</v>
      </c>
      <c r="M67" s="1">
        <f t="shared" si="13"/>
        <v>9</v>
      </c>
      <c r="N67" s="1">
        <f t="shared" si="13"/>
        <v>10</v>
      </c>
      <c r="O67" s="1">
        <f t="shared" si="13"/>
        <v>11</v>
      </c>
      <c r="P67" s="1">
        <f t="shared" si="13"/>
        <v>12</v>
      </c>
      <c r="Q67" s="1">
        <f t="shared" si="13"/>
        <v>13</v>
      </c>
      <c r="R67" s="1">
        <f t="shared" si="13"/>
        <v>14</v>
      </c>
      <c r="S67" s="1">
        <f t="shared" si="13"/>
        <v>15</v>
      </c>
      <c r="T67" s="1">
        <f t="shared" si="13"/>
        <v>16</v>
      </c>
      <c r="U67" s="1">
        <f t="shared" si="13"/>
        <v>17</v>
      </c>
      <c r="V67" s="1">
        <f t="shared" si="13"/>
        <v>18</v>
      </c>
      <c r="X67" s="6"/>
      <c r="Y67" s="6"/>
      <c r="Z67" s="6"/>
      <c r="AA67" s="6"/>
      <c r="AB67" s="6"/>
      <c r="AC67" s="13"/>
      <c r="AD67" s="6"/>
      <c r="AE67" s="6"/>
      <c r="AF67" s="6"/>
      <c r="AG67" s="6"/>
      <c r="AH67" s="6"/>
      <c r="AI67" s="6"/>
    </row>
    <row r="68" spans="1:35" s="12" customFormat="1" ht="16.5" x14ac:dyDescent="0.3">
      <c r="A68" s="45"/>
      <c r="B68" s="45"/>
      <c r="C68" s="46"/>
      <c r="D68" s="1"/>
      <c r="E68" s="13"/>
      <c r="F68" s="25"/>
      <c r="G68" s="13"/>
      <c r="H68" s="13"/>
      <c r="J68" s="13" t="s">
        <v>8</v>
      </c>
      <c r="K68" s="47" t="s">
        <v>9</v>
      </c>
      <c r="L68" s="47"/>
      <c r="M68" s="47"/>
      <c r="N68" s="47"/>
      <c r="O68" s="47"/>
      <c r="P68" s="47"/>
      <c r="Q68" s="47"/>
      <c r="R68" s="47"/>
      <c r="S68" s="47"/>
      <c r="T68" s="47"/>
      <c r="U68" s="23"/>
      <c r="V68" s="25" t="s">
        <v>10</v>
      </c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</row>
    <row r="69" spans="1:35" s="12" customFormat="1" ht="16.5" x14ac:dyDescent="0.3">
      <c r="A69" s="45"/>
      <c r="B69" s="45"/>
      <c r="C69" s="46"/>
      <c r="D69" s="1" t="s">
        <v>14</v>
      </c>
      <c r="E69" s="13"/>
      <c r="F69" s="25" t="s">
        <v>15</v>
      </c>
      <c r="G69" s="13" t="s">
        <v>16</v>
      </c>
      <c r="H69" s="13" t="s">
        <v>16</v>
      </c>
      <c r="I69" s="13" t="s">
        <v>17</v>
      </c>
      <c r="J69" s="25" t="s">
        <v>17</v>
      </c>
      <c r="K69" s="25" t="s">
        <v>18</v>
      </c>
      <c r="L69" s="47" t="s">
        <v>19</v>
      </c>
      <c r="M69" s="47"/>
      <c r="N69" s="47" t="s">
        <v>20</v>
      </c>
      <c r="O69" s="47"/>
      <c r="P69" s="47" t="s">
        <v>21</v>
      </c>
      <c r="Q69" s="47"/>
      <c r="R69" s="48" t="s">
        <v>22</v>
      </c>
      <c r="S69" s="48" t="s">
        <v>23</v>
      </c>
      <c r="T69" s="49" t="s">
        <v>24</v>
      </c>
      <c r="U69" s="48" t="s">
        <v>25</v>
      </c>
      <c r="V69" s="25" t="s">
        <v>26</v>
      </c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</row>
    <row r="70" spans="1:35" s="12" customFormat="1" ht="16.5" x14ac:dyDescent="0.3">
      <c r="A70" s="45"/>
      <c r="B70" s="45"/>
      <c r="C70" s="46"/>
      <c r="D70" s="1" t="s">
        <v>30</v>
      </c>
      <c r="E70" s="13" t="s">
        <v>31</v>
      </c>
      <c r="F70" s="25" t="s">
        <v>32</v>
      </c>
      <c r="G70" s="25" t="s">
        <v>33</v>
      </c>
      <c r="H70" s="25" t="s">
        <v>34</v>
      </c>
      <c r="I70" s="13" t="s">
        <v>33</v>
      </c>
      <c r="J70" s="25" t="s">
        <v>33</v>
      </c>
      <c r="K70" s="25" t="s">
        <v>33</v>
      </c>
      <c r="L70" s="25" t="s">
        <v>33</v>
      </c>
      <c r="M70" s="25" t="s">
        <v>35</v>
      </c>
      <c r="N70" s="25" t="s">
        <v>33</v>
      </c>
      <c r="O70" s="25" t="s">
        <v>35</v>
      </c>
      <c r="P70" s="25" t="s">
        <v>33</v>
      </c>
      <c r="Q70" s="25" t="s">
        <v>35</v>
      </c>
      <c r="R70" s="25" t="s">
        <v>35</v>
      </c>
      <c r="S70" s="25" t="s">
        <v>35</v>
      </c>
      <c r="T70" s="25" t="s">
        <v>35</v>
      </c>
      <c r="U70" s="25" t="s">
        <v>35</v>
      </c>
      <c r="V70" s="25" t="s">
        <v>35</v>
      </c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</row>
    <row r="71" spans="1:35" ht="16.5" customHeight="1" x14ac:dyDescent="0.3">
      <c r="A71" s="28"/>
      <c r="B71" s="28"/>
      <c r="C71" s="26"/>
      <c r="D71" s="1"/>
      <c r="E71" s="20" t="s">
        <v>16</v>
      </c>
      <c r="F71" s="25" t="s">
        <v>37</v>
      </c>
      <c r="G71" s="25" t="s">
        <v>37</v>
      </c>
      <c r="H71" s="25" t="s">
        <v>37</v>
      </c>
      <c r="I71" s="13" t="s">
        <v>37</v>
      </c>
      <c r="J71" s="25" t="s">
        <v>37</v>
      </c>
      <c r="K71" s="25" t="s">
        <v>37</v>
      </c>
      <c r="L71" s="25" t="s">
        <v>37</v>
      </c>
      <c r="M71" s="25" t="s">
        <v>37</v>
      </c>
      <c r="N71" s="25" t="s">
        <v>37</v>
      </c>
      <c r="O71" s="25" t="s">
        <v>37</v>
      </c>
      <c r="P71" s="25" t="s">
        <v>37</v>
      </c>
      <c r="Q71" s="25" t="s">
        <v>37</v>
      </c>
      <c r="R71" s="25" t="s">
        <v>37</v>
      </c>
      <c r="S71" s="25" t="s">
        <v>37</v>
      </c>
      <c r="T71" s="25" t="s">
        <v>37</v>
      </c>
      <c r="U71" s="25" t="s">
        <v>37</v>
      </c>
      <c r="V71" s="25" t="s">
        <v>37</v>
      </c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</row>
    <row r="72" spans="1:35" ht="16.5" x14ac:dyDescent="0.3">
      <c r="A72" s="28"/>
      <c r="B72" s="28"/>
      <c r="C72" s="26"/>
      <c r="D72" s="1"/>
      <c r="E72" s="20" t="s">
        <v>38</v>
      </c>
      <c r="F72" s="22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X72" s="6"/>
      <c r="Y72" s="6"/>
      <c r="Z72" s="6"/>
      <c r="AA72" s="6"/>
      <c r="AB72" s="6"/>
      <c r="AC72" s="20"/>
      <c r="AD72" s="6"/>
      <c r="AE72" s="6"/>
      <c r="AF72" s="6"/>
      <c r="AG72" s="6"/>
      <c r="AH72" s="6"/>
      <c r="AI72" s="6"/>
    </row>
    <row r="73" spans="1:35" ht="16.5" x14ac:dyDescent="0.3">
      <c r="A73" s="28"/>
      <c r="B73" s="28"/>
      <c r="C73" s="24" t="s">
        <v>40</v>
      </c>
      <c r="D73" s="1">
        <f t="shared" ref="D73:D87" si="14">MAX(D70:D72)+NoOne</f>
        <v>1</v>
      </c>
      <c r="E73" s="6" t="s">
        <v>41</v>
      </c>
      <c r="F73" s="22">
        <v>817319521.66252077</v>
      </c>
      <c r="G73" s="23">
        <v>406311733.54121149</v>
      </c>
      <c r="H73" s="23">
        <v>411007788.12130928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23">
        <v>0</v>
      </c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</row>
    <row r="74" spans="1:35" ht="16.5" x14ac:dyDescent="0.3">
      <c r="A74" s="28"/>
      <c r="B74" s="28"/>
      <c r="C74" s="26" t="s">
        <v>42</v>
      </c>
      <c r="D74" s="1">
        <f t="shared" si="14"/>
        <v>2</v>
      </c>
      <c r="E74" s="6" t="s">
        <v>43</v>
      </c>
      <c r="F74" s="22">
        <v>-308182.98499999999</v>
      </c>
      <c r="G74" s="23">
        <v>-153206.13244199377</v>
      </c>
      <c r="H74" s="23">
        <v>-154976.85255800621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23">
        <v>0</v>
      </c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</row>
    <row r="75" spans="1:35" ht="16.5" x14ac:dyDescent="0.3">
      <c r="A75" s="28"/>
      <c r="B75" s="28"/>
      <c r="C75" s="24" t="s">
        <v>44</v>
      </c>
      <c r="D75" s="1">
        <f t="shared" si="14"/>
        <v>3</v>
      </c>
      <c r="E75" s="6" t="s">
        <v>45</v>
      </c>
      <c r="F75" s="22">
        <v>2850569.4550000001</v>
      </c>
      <c r="G75" s="23">
        <v>1417095.5007715046</v>
      </c>
      <c r="H75" s="23">
        <v>1433473.9542284955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23">
        <v>0</v>
      </c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</row>
    <row r="76" spans="1:35" ht="16.5" x14ac:dyDescent="0.3">
      <c r="A76" s="28"/>
      <c r="B76" s="28"/>
      <c r="C76" s="24" t="s">
        <v>46</v>
      </c>
      <c r="D76" s="1">
        <f t="shared" si="14"/>
        <v>4</v>
      </c>
      <c r="E76" s="6" t="s">
        <v>47</v>
      </c>
      <c r="F76" s="22">
        <v>-92282.899999999965</v>
      </c>
      <c r="G76" s="23">
        <v>-45876.336097955776</v>
      </c>
      <c r="H76" s="23">
        <v>-46406.563902044189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23">
        <v>0</v>
      </c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</row>
    <row r="77" spans="1:35" ht="16.5" x14ac:dyDescent="0.3">
      <c r="A77" s="28"/>
      <c r="B77" s="28"/>
      <c r="C77" s="24" t="s">
        <v>48</v>
      </c>
      <c r="D77" s="1">
        <f t="shared" si="14"/>
        <v>5</v>
      </c>
      <c r="E77" s="6" t="s">
        <v>49</v>
      </c>
      <c r="F77" s="22">
        <v>-34787.985000000008</v>
      </c>
      <c r="G77" s="23">
        <v>-17294.052224525291</v>
      </c>
      <c r="H77" s="23">
        <v>-17493.932775474717</v>
      </c>
      <c r="I77" s="23">
        <v>0</v>
      </c>
      <c r="J77" s="23">
        <v>0</v>
      </c>
      <c r="K77" s="23">
        <v>0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23">
        <v>0</v>
      </c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</row>
    <row r="78" spans="1:35" ht="16.5" x14ac:dyDescent="0.3">
      <c r="A78" s="28"/>
      <c r="B78" s="28"/>
      <c r="C78" s="24" t="s">
        <v>50</v>
      </c>
      <c r="D78" s="1">
        <f t="shared" si="14"/>
        <v>6</v>
      </c>
      <c r="E78" s="6" t="s">
        <v>51</v>
      </c>
      <c r="F78" s="22">
        <v>-32688.744999999966</v>
      </c>
      <c r="G78" s="23">
        <v>-16250.463002792179</v>
      </c>
      <c r="H78" s="23">
        <v>-16438.281997207789</v>
      </c>
      <c r="I78" s="23">
        <v>0</v>
      </c>
      <c r="J78" s="23">
        <v>0</v>
      </c>
      <c r="K78" s="23">
        <v>0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23">
        <v>0</v>
      </c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</row>
    <row r="79" spans="1:35" ht="16.5" x14ac:dyDescent="0.3">
      <c r="A79" s="28"/>
      <c r="B79" s="28"/>
      <c r="C79" s="24" t="s">
        <v>52</v>
      </c>
      <c r="D79" s="1">
        <f t="shared" si="14"/>
        <v>7</v>
      </c>
      <c r="E79" s="6" t="s">
        <v>53</v>
      </c>
      <c r="F79" s="22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23">
        <v>0</v>
      </c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</row>
    <row r="80" spans="1:35" ht="16.5" x14ac:dyDescent="0.3">
      <c r="A80" s="28"/>
      <c r="B80" s="28"/>
      <c r="C80" s="24" t="s">
        <v>54</v>
      </c>
      <c r="D80" s="1">
        <f t="shared" si="14"/>
        <v>8</v>
      </c>
      <c r="E80" s="6" t="s">
        <v>55</v>
      </c>
      <c r="F80" s="22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</row>
    <row r="81" spans="1:42" ht="16.5" x14ac:dyDescent="0.3">
      <c r="A81" s="28"/>
      <c r="B81" s="28"/>
      <c r="C81" s="24" t="s">
        <v>56</v>
      </c>
      <c r="D81" s="1">
        <f t="shared" si="14"/>
        <v>9</v>
      </c>
      <c r="E81" s="6" t="s">
        <v>106</v>
      </c>
      <c r="F81" s="22">
        <v>264354.35499999998</v>
      </c>
      <c r="G81" s="23">
        <v>131417.73003382338</v>
      </c>
      <c r="H81" s="23">
        <v>132936.62496617661</v>
      </c>
      <c r="I81" s="23">
        <v>0</v>
      </c>
      <c r="J81" s="23">
        <v>0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23">
        <v>0</v>
      </c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</row>
    <row r="82" spans="1:42" ht="16.5" x14ac:dyDescent="0.3">
      <c r="A82" s="28">
        <f>SUM(G82:V82)-F82</f>
        <v>0</v>
      </c>
      <c r="B82" s="28"/>
      <c r="C82" s="29" t="s">
        <v>39</v>
      </c>
      <c r="D82" s="1">
        <f t="shared" si="14"/>
        <v>10</v>
      </c>
      <c r="E82" s="20" t="s">
        <v>58</v>
      </c>
      <c r="F82" s="30">
        <f>SUM(F73:F81)</f>
        <v>819966502.85752082</v>
      </c>
      <c r="G82" s="30">
        <f>SUM(G73:G81)</f>
        <v>407627619.78824955</v>
      </c>
      <c r="H82" s="30">
        <f>SUM(H73:H81)</f>
        <v>412338883.06927127</v>
      </c>
      <c r="I82" s="30">
        <f>SUM(I73:I81)</f>
        <v>0</v>
      </c>
      <c r="J82" s="30">
        <f>SUM(J73:J81)</f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X82" s="6"/>
      <c r="Y82" s="6"/>
      <c r="Z82" s="6"/>
      <c r="AA82" s="6"/>
      <c r="AB82" s="6"/>
      <c r="AC82" s="20"/>
      <c r="AD82" s="6"/>
      <c r="AE82" s="6"/>
      <c r="AF82" s="6"/>
      <c r="AG82" s="6"/>
      <c r="AH82" s="6"/>
      <c r="AI82" s="6"/>
    </row>
    <row r="83" spans="1:42" ht="16.5" x14ac:dyDescent="0.3">
      <c r="A83" s="28"/>
      <c r="B83" s="28"/>
      <c r="C83" s="26" t="s">
        <v>537</v>
      </c>
      <c r="D83" s="1">
        <v>11</v>
      </c>
      <c r="E83" s="6" t="s">
        <v>60</v>
      </c>
      <c r="F83" s="22">
        <f>SUM(G83:V83)</f>
        <v>146045380.87007934</v>
      </c>
      <c r="G83" s="23">
        <v>129746716.36497848</v>
      </c>
      <c r="H83" s="23">
        <v>16298664.505100856</v>
      </c>
      <c r="I83" s="23">
        <v>0</v>
      </c>
      <c r="J83" s="23">
        <v>0</v>
      </c>
      <c r="K83" s="23">
        <v>0</v>
      </c>
      <c r="L83" s="23">
        <v>0</v>
      </c>
      <c r="M83" s="23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23">
        <v>0</v>
      </c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</row>
    <row r="84" spans="1:42" ht="16.5" x14ac:dyDescent="0.3">
      <c r="A84" s="28"/>
      <c r="B84" s="28"/>
      <c r="C84" s="24" t="s">
        <v>61</v>
      </c>
      <c r="D84" s="1">
        <f t="shared" si="14"/>
        <v>12</v>
      </c>
      <c r="E84" s="6" t="s">
        <v>62</v>
      </c>
      <c r="F84" s="22">
        <v>126292246.21710794</v>
      </c>
      <c r="G84" s="23">
        <v>126292246.21710794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23">
        <v>0</v>
      </c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</row>
    <row r="85" spans="1:42" ht="16.5" x14ac:dyDescent="0.3">
      <c r="A85" s="28"/>
      <c r="B85" s="28"/>
      <c r="C85" s="26" t="s">
        <v>63</v>
      </c>
      <c r="D85" s="1">
        <f t="shared" si="14"/>
        <v>13</v>
      </c>
      <c r="E85" s="6" t="s">
        <v>64</v>
      </c>
      <c r="F85" s="22">
        <v>0</v>
      </c>
      <c r="G85" s="23">
        <v>0</v>
      </c>
      <c r="H85" s="23">
        <v>0</v>
      </c>
      <c r="I85" s="23">
        <v>0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23">
        <v>0</v>
      </c>
      <c r="X85" s="6"/>
      <c r="Y85" s="6"/>
      <c r="Z85" s="6"/>
      <c r="AA85" s="6"/>
      <c r="AB85" s="6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ht="16.5" x14ac:dyDescent="0.3">
      <c r="A86" s="28"/>
      <c r="B86" s="28"/>
      <c r="C86" s="26" t="s">
        <v>538</v>
      </c>
      <c r="D86" s="1">
        <f t="shared" si="14"/>
        <v>14</v>
      </c>
      <c r="E86" s="6" t="s">
        <v>65</v>
      </c>
      <c r="F86" s="22">
        <f>SUM(G86:V86)</f>
        <v>5172217.6293745227</v>
      </c>
      <c r="G86" s="23">
        <v>5172217.6293745227</v>
      </c>
      <c r="H86" s="23">
        <v>0</v>
      </c>
      <c r="I86" s="23">
        <v>0</v>
      </c>
      <c r="J86" s="22">
        <v>0</v>
      </c>
      <c r="K86" s="23">
        <v>0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0</v>
      </c>
      <c r="R86" s="23">
        <v>0</v>
      </c>
      <c r="S86" s="23">
        <v>0</v>
      </c>
      <c r="T86" s="23">
        <v>0</v>
      </c>
      <c r="U86" s="23">
        <v>0</v>
      </c>
      <c r="V86" s="23">
        <v>0</v>
      </c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</row>
    <row r="87" spans="1:42" ht="16.5" x14ac:dyDescent="0.3">
      <c r="A87" s="28">
        <f>SUM(G87:V87)-F87</f>
        <v>0</v>
      </c>
      <c r="B87" s="28"/>
      <c r="C87" s="29" t="s">
        <v>39</v>
      </c>
      <c r="D87" s="1">
        <f t="shared" si="14"/>
        <v>15</v>
      </c>
      <c r="E87" s="20" t="s">
        <v>66</v>
      </c>
      <c r="F87" s="30">
        <f>SUM(F82:F86)</f>
        <v>1097476347.5740826</v>
      </c>
      <c r="G87" s="30">
        <f>SUM(G82:G86)</f>
        <v>668838799.99971044</v>
      </c>
      <c r="H87" s="30">
        <f>SUM(H82:H86)</f>
        <v>428637547.57437211</v>
      </c>
      <c r="I87" s="30">
        <f>SUM(I82:I86)</f>
        <v>0</v>
      </c>
      <c r="J87" s="30">
        <f>SUM(J82:J86)</f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  <c r="U87" s="31">
        <v>0</v>
      </c>
      <c r="V87" s="31">
        <v>0</v>
      </c>
      <c r="X87" s="6"/>
      <c r="Y87" s="6"/>
      <c r="Z87" s="6"/>
      <c r="AA87" s="6"/>
      <c r="AB87" s="6"/>
      <c r="AC87" s="20"/>
      <c r="AD87" s="6"/>
      <c r="AE87" s="6"/>
      <c r="AF87" s="6"/>
      <c r="AG87" s="6"/>
      <c r="AH87" s="6"/>
      <c r="AI87" s="6"/>
    </row>
    <row r="88" spans="1:42" ht="16.5" x14ac:dyDescent="0.3">
      <c r="A88" s="28"/>
      <c r="B88" s="28"/>
      <c r="C88" s="26"/>
      <c r="D88" s="1"/>
      <c r="E88" s="20" t="s">
        <v>17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X88" s="6"/>
      <c r="Y88" s="6"/>
      <c r="Z88" s="6"/>
      <c r="AA88" s="6"/>
      <c r="AB88" s="6"/>
      <c r="AC88" s="20"/>
      <c r="AD88" s="6"/>
      <c r="AE88" s="6"/>
      <c r="AF88" s="6"/>
      <c r="AG88" s="6"/>
      <c r="AH88" s="6"/>
      <c r="AI88" s="6"/>
    </row>
    <row r="89" spans="1:42" ht="16.5" x14ac:dyDescent="0.3">
      <c r="A89" s="28"/>
      <c r="B89" s="28"/>
      <c r="C89" s="26" t="s">
        <v>539</v>
      </c>
      <c r="D89" s="1">
        <f t="shared" ref="D89:D96" si="15">MAX(D86:D88)+NoOne</f>
        <v>16</v>
      </c>
      <c r="E89" s="6" t="s">
        <v>67</v>
      </c>
      <c r="F89" s="22">
        <f>SUM(G89:V89)</f>
        <v>417821974.4968977</v>
      </c>
      <c r="G89" s="22">
        <v>9064399.3466760162</v>
      </c>
      <c r="H89" s="22">
        <v>9169163.5229325127</v>
      </c>
      <c r="I89" s="23">
        <v>351254882.67634594</v>
      </c>
      <c r="J89" s="22">
        <v>34898170.524554878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0</v>
      </c>
      <c r="Q89" s="22">
        <v>0</v>
      </c>
      <c r="R89" s="22">
        <v>0</v>
      </c>
      <c r="S89" s="22">
        <v>0</v>
      </c>
      <c r="T89" s="22">
        <v>0</v>
      </c>
      <c r="U89" s="22">
        <v>0</v>
      </c>
      <c r="V89" s="22">
        <v>13435358.426388353</v>
      </c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</row>
    <row r="90" spans="1:42" ht="16.5" x14ac:dyDescent="0.3">
      <c r="A90" s="28"/>
      <c r="B90" s="28"/>
      <c r="C90" s="26" t="s">
        <v>540</v>
      </c>
      <c r="D90" s="1">
        <f t="shared" si="15"/>
        <v>17</v>
      </c>
      <c r="E90" s="27" t="s">
        <v>68</v>
      </c>
      <c r="F90" s="22">
        <f>SUM(G90:V90)</f>
        <v>251981801.89964491</v>
      </c>
      <c r="G90" s="22">
        <v>0</v>
      </c>
      <c r="H90" s="22">
        <v>0</v>
      </c>
      <c r="I90" s="23">
        <v>221893580.05296999</v>
      </c>
      <c r="J90" s="23">
        <v>16264106.36037118</v>
      </c>
      <c r="K90" s="22">
        <v>0</v>
      </c>
      <c r="L90" s="22">
        <v>0</v>
      </c>
      <c r="M90" s="22">
        <v>0</v>
      </c>
      <c r="N90" s="22">
        <v>0</v>
      </c>
      <c r="O90" s="22">
        <v>0</v>
      </c>
      <c r="P90" s="22">
        <v>0</v>
      </c>
      <c r="Q90" s="22">
        <v>0</v>
      </c>
      <c r="R90" s="22">
        <v>0</v>
      </c>
      <c r="S90" s="22">
        <v>0</v>
      </c>
      <c r="T90" s="22">
        <v>0</v>
      </c>
      <c r="U90" s="22">
        <v>0</v>
      </c>
      <c r="V90" s="22">
        <v>13824115.486303747</v>
      </c>
      <c r="X90" s="6"/>
      <c r="Y90" s="6"/>
      <c r="Z90" s="6"/>
      <c r="AA90" s="6"/>
      <c r="AB90" s="6"/>
      <c r="AC90" s="27"/>
      <c r="AD90" s="6"/>
      <c r="AE90" s="6"/>
      <c r="AF90" s="6"/>
      <c r="AG90" s="6"/>
      <c r="AH90" s="6"/>
      <c r="AI90" s="6"/>
    </row>
    <row r="91" spans="1:42" ht="16.5" x14ac:dyDescent="0.3">
      <c r="A91" s="32"/>
      <c r="B91" s="32"/>
      <c r="C91" s="26" t="s">
        <v>541</v>
      </c>
      <c r="D91" s="1">
        <v>18</v>
      </c>
      <c r="E91" s="33" t="str">
        <f>+$E$33</f>
        <v>Term Stns - Hydraulic</v>
      </c>
      <c r="F91" s="22">
        <f>SUM(G91:V91)</f>
        <v>31674087.246399548</v>
      </c>
      <c r="G91" s="22">
        <v>15746049.074225027</v>
      </c>
      <c r="H91" s="22">
        <v>15928038.172174521</v>
      </c>
      <c r="I91" s="23">
        <v>0</v>
      </c>
      <c r="J91" s="23">
        <v>0</v>
      </c>
      <c r="K91" s="23">
        <v>0</v>
      </c>
      <c r="L91" s="23">
        <v>0</v>
      </c>
      <c r="M91" s="23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23">
        <v>0</v>
      </c>
      <c r="X91" s="6"/>
      <c r="Y91" s="6"/>
      <c r="Z91" s="6"/>
      <c r="AA91" s="6"/>
      <c r="AB91" s="6"/>
      <c r="AC91" s="33"/>
      <c r="AD91" s="6"/>
      <c r="AE91" s="6"/>
      <c r="AF91" s="6"/>
      <c r="AG91" s="6"/>
      <c r="AH91" s="6"/>
      <c r="AI91" s="6"/>
    </row>
    <row r="92" spans="1:42" ht="16.5" x14ac:dyDescent="0.3">
      <c r="A92" s="32"/>
      <c r="B92" s="32"/>
      <c r="C92" s="26" t="s">
        <v>70</v>
      </c>
      <c r="D92" s="1">
        <v>19</v>
      </c>
      <c r="E92" s="33" t="str">
        <f>+E34</f>
        <v>Term Stns - Holyrood</v>
      </c>
      <c r="F92" s="22">
        <v>8652255.2745452262</v>
      </c>
      <c r="G92" s="22">
        <v>7686663.5859059785</v>
      </c>
      <c r="H92" s="22">
        <v>965591.68863924732</v>
      </c>
      <c r="I92" s="23">
        <v>0</v>
      </c>
      <c r="J92" s="23">
        <v>0</v>
      </c>
      <c r="K92" s="23">
        <v>0</v>
      </c>
      <c r="L92" s="23">
        <v>0</v>
      </c>
      <c r="M92" s="23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23">
        <v>0</v>
      </c>
      <c r="X92" s="6"/>
      <c r="Y92" s="6"/>
      <c r="Z92" s="6"/>
      <c r="AA92" s="6"/>
      <c r="AB92" s="6"/>
      <c r="AC92" s="33"/>
      <c r="AD92" s="6"/>
      <c r="AE92" s="6"/>
      <c r="AF92" s="6"/>
      <c r="AG92" s="6"/>
      <c r="AH92" s="6"/>
      <c r="AI92" s="6"/>
    </row>
    <row r="93" spans="1:42" ht="16.5" x14ac:dyDescent="0.3">
      <c r="A93" s="28"/>
      <c r="B93" s="32"/>
      <c r="C93" s="26" t="s">
        <v>542</v>
      </c>
      <c r="D93" s="1">
        <v>20</v>
      </c>
      <c r="E93" s="33" t="str">
        <f>+E35</f>
        <v>Term Stns - Gas Tur/Dsl</v>
      </c>
      <c r="F93" s="22">
        <f>SUM(G93:V93)</f>
        <v>354104.935</v>
      </c>
      <c r="G93" s="22">
        <v>354104.935</v>
      </c>
      <c r="H93" s="22">
        <v>0</v>
      </c>
      <c r="I93" s="22">
        <v>0</v>
      </c>
      <c r="J93" s="22">
        <v>0</v>
      </c>
      <c r="K93" s="22">
        <v>0</v>
      </c>
      <c r="L93" s="22">
        <v>0</v>
      </c>
      <c r="M93" s="22">
        <v>0</v>
      </c>
      <c r="N93" s="22">
        <v>0</v>
      </c>
      <c r="O93" s="22">
        <v>0</v>
      </c>
      <c r="P93" s="22">
        <v>0</v>
      </c>
      <c r="Q93" s="22">
        <v>0</v>
      </c>
      <c r="R93" s="22">
        <v>0</v>
      </c>
      <c r="S93" s="22">
        <v>0</v>
      </c>
      <c r="T93" s="22">
        <v>0</v>
      </c>
      <c r="U93" s="22">
        <v>0</v>
      </c>
      <c r="V93" s="22">
        <v>0</v>
      </c>
      <c r="X93" s="6"/>
      <c r="Y93" s="6"/>
      <c r="Z93" s="6"/>
      <c r="AA93" s="6"/>
      <c r="AB93" s="6"/>
      <c r="AC93" s="33"/>
      <c r="AD93" s="6"/>
      <c r="AE93" s="6"/>
      <c r="AF93" s="6"/>
      <c r="AG93" s="6"/>
      <c r="AH93" s="6"/>
      <c r="AI93" s="6"/>
    </row>
    <row r="94" spans="1:42" ht="16.5" x14ac:dyDescent="0.3">
      <c r="A94" s="28"/>
      <c r="B94" s="32"/>
      <c r="C94" s="26" t="s">
        <v>73</v>
      </c>
      <c r="D94" s="1">
        <f t="shared" si="15"/>
        <v>21</v>
      </c>
      <c r="E94" s="36" t="s">
        <v>74</v>
      </c>
      <c r="F94" s="22">
        <v>11523736.36242507</v>
      </c>
      <c r="G94" s="34">
        <v>0</v>
      </c>
      <c r="H94" s="34">
        <v>0</v>
      </c>
      <c r="I94" s="34">
        <v>0</v>
      </c>
      <c r="J94" s="34">
        <v>0</v>
      </c>
      <c r="K94" s="34">
        <f>F94</f>
        <v>11523736.36242507</v>
      </c>
      <c r="L94" s="34">
        <v>0</v>
      </c>
      <c r="M94" s="34">
        <v>0</v>
      </c>
      <c r="N94" s="34">
        <v>0</v>
      </c>
      <c r="O94" s="34">
        <v>0</v>
      </c>
      <c r="P94" s="34">
        <v>0</v>
      </c>
      <c r="Q94" s="34">
        <v>0</v>
      </c>
      <c r="R94" s="34">
        <v>0</v>
      </c>
      <c r="S94" s="34">
        <v>0</v>
      </c>
      <c r="T94" s="34">
        <v>0</v>
      </c>
      <c r="U94" s="34">
        <v>0</v>
      </c>
      <c r="V94" s="34">
        <v>0</v>
      </c>
      <c r="X94" s="6"/>
      <c r="Y94" s="6"/>
      <c r="Z94" s="6"/>
      <c r="AA94" s="6"/>
      <c r="AB94" s="6"/>
      <c r="AC94" s="36"/>
      <c r="AD94" s="6"/>
      <c r="AE94" s="6"/>
      <c r="AF94" s="6"/>
      <c r="AG94" s="6"/>
      <c r="AH94" s="6"/>
      <c r="AI94" s="6"/>
    </row>
    <row r="95" spans="1:42" ht="16.5" x14ac:dyDescent="0.3">
      <c r="A95" s="28">
        <f>SUM(G95:V95)-F95</f>
        <v>0</v>
      </c>
      <c r="B95" s="28"/>
      <c r="C95" s="29"/>
      <c r="D95" s="1">
        <f t="shared" si="15"/>
        <v>22</v>
      </c>
      <c r="E95" s="39" t="s">
        <v>76</v>
      </c>
      <c r="F95" s="30">
        <f t="shared" ref="F95:V95" si="16">SUM(F90:F94)</f>
        <v>304185985.71801478</v>
      </c>
      <c r="G95" s="30">
        <f t="shared" si="16"/>
        <v>23786817.595131006</v>
      </c>
      <c r="H95" s="30">
        <f t="shared" si="16"/>
        <v>16893629.860813767</v>
      </c>
      <c r="I95" s="30">
        <f t="shared" si="16"/>
        <v>221893580.05296999</v>
      </c>
      <c r="J95" s="30">
        <f t="shared" si="16"/>
        <v>16264106.36037118</v>
      </c>
      <c r="K95" s="30">
        <f t="shared" si="16"/>
        <v>11523736.36242507</v>
      </c>
      <c r="L95" s="30">
        <f t="shared" si="16"/>
        <v>0</v>
      </c>
      <c r="M95" s="30">
        <f t="shared" si="16"/>
        <v>0</v>
      </c>
      <c r="N95" s="30">
        <f t="shared" si="16"/>
        <v>0</v>
      </c>
      <c r="O95" s="30">
        <f t="shared" si="16"/>
        <v>0</v>
      </c>
      <c r="P95" s="30">
        <f t="shared" si="16"/>
        <v>0</v>
      </c>
      <c r="Q95" s="30">
        <f t="shared" si="16"/>
        <v>0</v>
      </c>
      <c r="R95" s="30">
        <f t="shared" si="16"/>
        <v>0</v>
      </c>
      <c r="S95" s="30">
        <f t="shared" si="16"/>
        <v>0</v>
      </c>
      <c r="T95" s="30">
        <f t="shared" si="16"/>
        <v>0</v>
      </c>
      <c r="U95" s="30">
        <f t="shared" si="16"/>
        <v>0</v>
      </c>
      <c r="V95" s="30">
        <f t="shared" si="16"/>
        <v>13824115.486303747</v>
      </c>
      <c r="X95" s="6"/>
      <c r="Y95" s="6"/>
      <c r="Z95" s="6"/>
      <c r="AA95" s="6"/>
      <c r="AB95" s="6"/>
      <c r="AC95" s="39"/>
      <c r="AD95" s="6"/>
      <c r="AE95" s="6"/>
      <c r="AF95" s="6"/>
      <c r="AG95" s="6"/>
      <c r="AH95" s="6"/>
      <c r="AI95" s="6"/>
    </row>
    <row r="96" spans="1:42" ht="18.75" customHeight="1" x14ac:dyDescent="0.3">
      <c r="A96" s="28">
        <f>SUM(G96:V96)-F96</f>
        <v>0</v>
      </c>
      <c r="B96" s="28"/>
      <c r="C96" s="29" t="s">
        <v>39</v>
      </c>
      <c r="D96" s="1">
        <f t="shared" si="15"/>
        <v>23</v>
      </c>
      <c r="E96" s="37" t="s">
        <v>107</v>
      </c>
      <c r="F96" s="30">
        <f>SUM(F89,F95)</f>
        <v>722007960.21491241</v>
      </c>
      <c r="G96" s="30">
        <f t="shared" ref="G96:V96" si="17">SUM(G89,G95)</f>
        <v>32851216.941807024</v>
      </c>
      <c r="H96" s="30">
        <f t="shared" si="17"/>
        <v>26062793.383746281</v>
      </c>
      <c r="I96" s="30">
        <f t="shared" si="17"/>
        <v>573148462.729316</v>
      </c>
      <c r="J96" s="30">
        <f t="shared" si="17"/>
        <v>51162276.884926058</v>
      </c>
      <c r="K96" s="30">
        <f t="shared" si="17"/>
        <v>11523736.36242507</v>
      </c>
      <c r="L96" s="30">
        <f t="shared" si="17"/>
        <v>0</v>
      </c>
      <c r="M96" s="30">
        <f t="shared" si="17"/>
        <v>0</v>
      </c>
      <c r="N96" s="30">
        <f t="shared" si="17"/>
        <v>0</v>
      </c>
      <c r="O96" s="30">
        <f t="shared" si="17"/>
        <v>0</v>
      </c>
      <c r="P96" s="30">
        <f t="shared" si="17"/>
        <v>0</v>
      </c>
      <c r="Q96" s="30">
        <f t="shared" si="17"/>
        <v>0</v>
      </c>
      <c r="R96" s="30">
        <f t="shared" si="17"/>
        <v>0</v>
      </c>
      <c r="S96" s="30">
        <f t="shared" si="17"/>
        <v>0</v>
      </c>
      <c r="T96" s="30">
        <f t="shared" si="17"/>
        <v>0</v>
      </c>
      <c r="U96" s="30">
        <f t="shared" si="17"/>
        <v>0</v>
      </c>
      <c r="V96" s="30">
        <f t="shared" si="17"/>
        <v>27259473.9126921</v>
      </c>
      <c r="X96" s="6"/>
      <c r="Y96" s="6"/>
      <c r="Z96" s="6"/>
      <c r="AA96" s="6"/>
      <c r="AB96" s="6"/>
      <c r="AC96" s="37"/>
      <c r="AD96" s="6"/>
      <c r="AE96" s="6"/>
      <c r="AF96" s="6"/>
      <c r="AG96" s="6"/>
      <c r="AH96" s="6"/>
      <c r="AI96" s="6"/>
    </row>
    <row r="97" spans="1:35" ht="16.5" x14ac:dyDescent="0.3">
      <c r="A97" s="32"/>
      <c r="B97" s="32"/>
      <c r="C97" s="26"/>
      <c r="D97" s="1"/>
      <c r="E97" s="37" t="s">
        <v>9</v>
      </c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X97" s="6"/>
      <c r="Y97" s="6"/>
      <c r="Z97" s="6"/>
      <c r="AA97" s="6"/>
      <c r="AB97" s="6"/>
      <c r="AC97" s="39"/>
      <c r="AD97" s="6"/>
      <c r="AE97" s="6"/>
      <c r="AF97" s="6"/>
      <c r="AG97" s="6"/>
      <c r="AH97" s="6"/>
      <c r="AI97" s="6"/>
    </row>
    <row r="98" spans="1:35" ht="16.5" x14ac:dyDescent="0.3">
      <c r="A98" s="32"/>
      <c r="B98" s="32"/>
      <c r="C98" s="26" t="s">
        <v>543</v>
      </c>
      <c r="D98" s="1">
        <f t="shared" ref="D98:D114" si="18">MAX(D95:D97)+NoOne</f>
        <v>24</v>
      </c>
      <c r="E98" s="36" t="s">
        <v>18</v>
      </c>
      <c r="F98" s="22">
        <f>SUM(G98:V98)</f>
        <v>51022060.90882007</v>
      </c>
      <c r="G98" s="22">
        <v>0</v>
      </c>
      <c r="H98" s="22">
        <v>0</v>
      </c>
      <c r="I98" s="22">
        <v>0</v>
      </c>
      <c r="J98" s="22">
        <v>0</v>
      </c>
      <c r="K98" s="22">
        <v>51022060.90882007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>
        <v>0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X98" s="6"/>
      <c r="Y98" s="6"/>
      <c r="Z98" s="6"/>
      <c r="AA98" s="6"/>
      <c r="AB98" s="6"/>
      <c r="AC98" s="36"/>
      <c r="AD98" s="6"/>
      <c r="AE98" s="6"/>
      <c r="AF98" s="6"/>
      <c r="AG98" s="6"/>
      <c r="AH98" s="6"/>
      <c r="AI98" s="6"/>
    </row>
    <row r="99" spans="1:35" ht="16.5" x14ac:dyDescent="0.3">
      <c r="A99" s="32"/>
      <c r="B99" s="32"/>
      <c r="C99" s="26" t="s">
        <v>79</v>
      </c>
      <c r="D99" s="1">
        <f t="shared" si="18"/>
        <v>25</v>
      </c>
      <c r="E99" s="36" t="s">
        <v>80</v>
      </c>
      <c r="F99" s="34">
        <v>1847170.9049999998</v>
      </c>
      <c r="G99" s="23">
        <v>0</v>
      </c>
      <c r="H99" s="23">
        <v>0</v>
      </c>
      <c r="I99" s="22">
        <v>0</v>
      </c>
      <c r="J99" s="23">
        <v>0</v>
      </c>
      <c r="K99" s="23">
        <v>0</v>
      </c>
      <c r="L99" s="23">
        <v>1392674.50382475</v>
      </c>
      <c r="M99" s="23">
        <v>177420.76542524996</v>
      </c>
      <c r="N99" s="23">
        <v>0</v>
      </c>
      <c r="O99" s="23">
        <v>0</v>
      </c>
      <c r="P99" s="23">
        <v>161535.09564224994</v>
      </c>
      <c r="Q99" s="23">
        <v>115540.54010774997</v>
      </c>
      <c r="R99" s="23">
        <v>0</v>
      </c>
      <c r="S99" s="23">
        <v>0</v>
      </c>
      <c r="T99" s="23">
        <v>0</v>
      </c>
      <c r="U99" s="23">
        <v>0</v>
      </c>
      <c r="V99" s="23">
        <v>0</v>
      </c>
      <c r="X99" s="6"/>
      <c r="Y99" s="6"/>
      <c r="Z99" s="6"/>
      <c r="AA99" s="6"/>
      <c r="AB99" s="6"/>
      <c r="AC99" s="36"/>
      <c r="AD99" s="6"/>
      <c r="AE99" s="6"/>
      <c r="AF99" s="6"/>
      <c r="AG99" s="6"/>
      <c r="AH99" s="6"/>
      <c r="AI99" s="6"/>
    </row>
    <row r="100" spans="1:35" ht="16.5" x14ac:dyDescent="0.3">
      <c r="A100" s="32"/>
      <c r="B100" s="32"/>
      <c r="C100" s="26" t="s">
        <v>79</v>
      </c>
      <c r="D100" s="1">
        <f t="shared" si="18"/>
        <v>26</v>
      </c>
      <c r="E100" s="36" t="s">
        <v>81</v>
      </c>
      <c r="F100" s="50">
        <v>64554581.534130566</v>
      </c>
      <c r="G100" s="23">
        <v>0</v>
      </c>
      <c r="H100" s="23">
        <v>0</v>
      </c>
      <c r="I100" s="22">
        <v>0</v>
      </c>
      <c r="J100" s="23">
        <v>0</v>
      </c>
      <c r="K100" s="23">
        <v>0</v>
      </c>
      <c r="L100" s="23">
        <v>37335013.121101342</v>
      </c>
      <c r="M100" s="23">
        <v>12759342.149383975</v>
      </c>
      <c r="N100" s="23">
        <v>0</v>
      </c>
      <c r="O100" s="23">
        <v>0</v>
      </c>
      <c r="P100" s="23">
        <v>6608323.4024858773</v>
      </c>
      <c r="Q100" s="23">
        <v>7851902.8611593703</v>
      </c>
      <c r="R100" s="23">
        <v>0</v>
      </c>
      <c r="S100" s="23">
        <v>0</v>
      </c>
      <c r="T100" s="23">
        <v>0</v>
      </c>
      <c r="U100" s="23">
        <v>0</v>
      </c>
      <c r="V100" s="23">
        <v>0</v>
      </c>
      <c r="X100" s="6"/>
      <c r="Y100" s="6"/>
      <c r="Z100" s="6"/>
      <c r="AA100" s="6"/>
      <c r="AB100" s="6"/>
      <c r="AC100" s="36"/>
      <c r="AD100" s="6"/>
      <c r="AE100" s="6"/>
      <c r="AF100" s="6"/>
      <c r="AG100" s="6"/>
      <c r="AH100" s="6"/>
      <c r="AI100" s="6"/>
    </row>
    <row r="101" spans="1:35" ht="16.5" x14ac:dyDescent="0.3">
      <c r="A101" s="32"/>
      <c r="B101" s="32"/>
      <c r="C101" s="26" t="s">
        <v>79</v>
      </c>
      <c r="D101" s="1">
        <f t="shared" si="18"/>
        <v>27</v>
      </c>
      <c r="E101" s="36" t="s">
        <v>82</v>
      </c>
      <c r="F101" s="22">
        <v>14135420.986592837</v>
      </c>
      <c r="G101" s="23">
        <v>0</v>
      </c>
      <c r="H101" s="23">
        <v>0</v>
      </c>
      <c r="I101" s="22">
        <v>0</v>
      </c>
      <c r="J101" s="23">
        <v>0</v>
      </c>
      <c r="K101" s="23">
        <v>0</v>
      </c>
      <c r="L101" s="23">
        <v>12538118.415107846</v>
      </c>
      <c r="M101" s="23">
        <v>1597302.5714849907</v>
      </c>
      <c r="N101" s="23">
        <v>0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  <c r="U101" s="23">
        <v>0</v>
      </c>
      <c r="V101" s="23">
        <v>0</v>
      </c>
      <c r="X101" s="6"/>
      <c r="Y101" s="6"/>
      <c r="Z101" s="6"/>
      <c r="AA101" s="6"/>
      <c r="AB101" s="6"/>
      <c r="AC101" s="36"/>
      <c r="AD101" s="6"/>
      <c r="AE101" s="6"/>
      <c r="AF101" s="6"/>
      <c r="AG101" s="6"/>
      <c r="AH101" s="6"/>
      <c r="AI101" s="6"/>
    </row>
    <row r="102" spans="1:35" ht="16.5" x14ac:dyDescent="0.3">
      <c r="A102" s="32"/>
      <c r="B102" s="32"/>
      <c r="C102" s="24" t="s">
        <v>83</v>
      </c>
      <c r="D102" s="1">
        <f t="shared" si="18"/>
        <v>28</v>
      </c>
      <c r="E102" s="36" t="s">
        <v>84</v>
      </c>
      <c r="F102" s="22">
        <v>1560642.0750000004</v>
      </c>
      <c r="G102" s="23">
        <v>0</v>
      </c>
      <c r="H102" s="23">
        <v>0</v>
      </c>
      <c r="I102" s="22">
        <v>0</v>
      </c>
      <c r="J102" s="23">
        <v>0</v>
      </c>
      <c r="K102" s="23">
        <v>0</v>
      </c>
      <c r="L102" s="23">
        <v>1560642.0750000004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3">
        <v>0</v>
      </c>
      <c r="U102" s="23">
        <v>0</v>
      </c>
      <c r="V102" s="23">
        <v>0</v>
      </c>
      <c r="X102" s="6"/>
      <c r="Y102" s="6"/>
      <c r="Z102" s="6"/>
      <c r="AA102" s="6"/>
      <c r="AB102" s="6"/>
      <c r="AC102" s="36"/>
      <c r="AD102" s="6"/>
      <c r="AE102" s="6"/>
      <c r="AF102" s="6"/>
      <c r="AG102" s="6"/>
      <c r="AH102" s="6"/>
      <c r="AI102" s="6"/>
    </row>
    <row r="103" spans="1:35" ht="16.5" x14ac:dyDescent="0.3">
      <c r="A103" s="32"/>
      <c r="B103" s="32"/>
      <c r="C103" s="26" t="s">
        <v>79</v>
      </c>
      <c r="D103" s="1">
        <f t="shared" si="18"/>
        <v>29</v>
      </c>
      <c r="E103" s="36" t="s">
        <v>85</v>
      </c>
      <c r="F103" s="22">
        <v>14450702.878910948</v>
      </c>
      <c r="G103" s="23">
        <v>0</v>
      </c>
      <c r="H103" s="23">
        <v>0</v>
      </c>
      <c r="I103" s="22">
        <v>0</v>
      </c>
      <c r="J103" s="23">
        <v>0</v>
      </c>
      <c r="K103" s="23">
        <v>0</v>
      </c>
      <c r="L103" s="23">
        <v>0</v>
      </c>
      <c r="M103" s="23">
        <v>0</v>
      </c>
      <c r="N103" s="23">
        <v>5216703.7392868521</v>
      </c>
      <c r="O103" s="23">
        <v>9233999.1396240965</v>
      </c>
      <c r="P103" s="23">
        <v>0</v>
      </c>
      <c r="Q103" s="23">
        <v>0</v>
      </c>
      <c r="R103" s="23">
        <v>0</v>
      </c>
      <c r="S103" s="23">
        <v>0</v>
      </c>
      <c r="T103" s="23">
        <v>0</v>
      </c>
      <c r="U103" s="23">
        <v>0</v>
      </c>
      <c r="V103" s="23">
        <v>0</v>
      </c>
      <c r="X103" s="6"/>
      <c r="Y103" s="6"/>
      <c r="Z103" s="6"/>
      <c r="AA103" s="6"/>
      <c r="AB103" s="6"/>
      <c r="AC103" s="36"/>
      <c r="AD103" s="6"/>
      <c r="AE103" s="6"/>
      <c r="AF103" s="6"/>
      <c r="AG103" s="6"/>
      <c r="AH103" s="6"/>
      <c r="AI103" s="6"/>
    </row>
    <row r="104" spans="1:35" ht="16.5" x14ac:dyDescent="0.3">
      <c r="A104" s="32"/>
      <c r="B104" s="32"/>
      <c r="C104" s="26" t="s">
        <v>79</v>
      </c>
      <c r="D104" s="1">
        <f t="shared" si="18"/>
        <v>30</v>
      </c>
      <c r="E104" s="36" t="s">
        <v>86</v>
      </c>
      <c r="F104" s="22">
        <v>899951.0939657347</v>
      </c>
      <c r="G104" s="23">
        <v>0</v>
      </c>
      <c r="H104" s="23">
        <v>0</v>
      </c>
      <c r="I104" s="22">
        <v>0</v>
      </c>
      <c r="J104" s="23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0</v>
      </c>
      <c r="P104" s="23">
        <v>524671.48778202327</v>
      </c>
      <c r="Q104" s="23">
        <v>375279.60618371138</v>
      </c>
      <c r="R104" s="23">
        <v>0</v>
      </c>
      <c r="S104" s="23">
        <v>0</v>
      </c>
      <c r="T104" s="23">
        <v>0</v>
      </c>
      <c r="U104" s="23">
        <v>0</v>
      </c>
      <c r="V104" s="23">
        <v>0</v>
      </c>
      <c r="X104" s="6"/>
      <c r="Y104" s="6"/>
      <c r="Z104" s="6"/>
      <c r="AA104" s="6"/>
      <c r="AB104" s="6"/>
      <c r="AC104" s="36"/>
      <c r="AD104" s="6"/>
      <c r="AE104" s="6"/>
      <c r="AF104" s="6"/>
      <c r="AG104" s="6"/>
      <c r="AH104" s="6"/>
      <c r="AI104" s="6"/>
    </row>
    <row r="105" spans="1:35" ht="16.5" x14ac:dyDescent="0.3">
      <c r="A105" s="32"/>
      <c r="B105" s="32"/>
      <c r="C105" s="26" t="s">
        <v>79</v>
      </c>
      <c r="D105" s="1">
        <f t="shared" si="18"/>
        <v>31</v>
      </c>
      <c r="E105" s="36" t="s">
        <v>22</v>
      </c>
      <c r="F105" s="22">
        <v>1764687.622662155</v>
      </c>
      <c r="G105" s="23">
        <v>0</v>
      </c>
      <c r="H105" s="23">
        <v>0</v>
      </c>
      <c r="I105" s="22">
        <v>0</v>
      </c>
      <c r="J105" s="23">
        <v>0</v>
      </c>
      <c r="K105" s="23">
        <v>0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3">
        <v>0</v>
      </c>
      <c r="R105" s="23">
        <v>1764687.622662155</v>
      </c>
      <c r="S105" s="23">
        <v>0</v>
      </c>
      <c r="T105" s="23">
        <v>0</v>
      </c>
      <c r="U105" s="23">
        <v>0</v>
      </c>
      <c r="V105" s="23">
        <v>0</v>
      </c>
      <c r="X105" s="6"/>
      <c r="Y105" s="6"/>
      <c r="Z105" s="6"/>
      <c r="AA105" s="6"/>
      <c r="AB105" s="6"/>
      <c r="AC105" s="36"/>
      <c r="AD105" s="6"/>
      <c r="AE105" s="6"/>
      <c r="AF105" s="6"/>
      <c r="AG105" s="6"/>
      <c r="AH105" s="6"/>
      <c r="AI105" s="6"/>
    </row>
    <row r="106" spans="1:35" ht="16.5" x14ac:dyDescent="0.3">
      <c r="A106" s="32"/>
      <c r="B106" s="32"/>
      <c r="C106" s="26" t="s">
        <v>531</v>
      </c>
      <c r="D106" s="1">
        <f t="shared" si="18"/>
        <v>32</v>
      </c>
      <c r="E106" s="36" t="s">
        <v>23</v>
      </c>
      <c r="F106" s="51">
        <v>6895203.9891659217</v>
      </c>
      <c r="G106" s="23">
        <v>0</v>
      </c>
      <c r="H106" s="23">
        <v>0</v>
      </c>
      <c r="I106" s="22">
        <v>0</v>
      </c>
      <c r="J106" s="23">
        <v>0</v>
      </c>
      <c r="K106" s="23">
        <v>0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3">
        <v>0</v>
      </c>
      <c r="R106" s="23">
        <v>0</v>
      </c>
      <c r="S106" s="23">
        <v>6895203.9891659217</v>
      </c>
      <c r="T106" s="23">
        <v>0</v>
      </c>
      <c r="U106" s="23">
        <v>0</v>
      </c>
      <c r="V106" s="23">
        <v>0</v>
      </c>
      <c r="X106" s="6"/>
      <c r="Y106" s="6"/>
      <c r="Z106" s="6"/>
      <c r="AA106" s="6"/>
      <c r="AB106" s="6"/>
      <c r="AC106" s="36"/>
      <c r="AD106" s="6"/>
      <c r="AE106" s="6"/>
      <c r="AF106" s="6"/>
      <c r="AG106" s="6"/>
      <c r="AH106" s="6"/>
      <c r="AI106" s="6"/>
    </row>
    <row r="107" spans="1:35" ht="16.5" x14ac:dyDescent="0.3">
      <c r="A107" s="32"/>
      <c r="B107" s="32"/>
      <c r="C107" s="26" t="s">
        <v>79</v>
      </c>
      <c r="D107" s="1">
        <f t="shared" si="18"/>
        <v>33</v>
      </c>
      <c r="E107" s="36" t="s">
        <v>24</v>
      </c>
      <c r="F107" s="34">
        <v>2172511.4277417073</v>
      </c>
      <c r="G107" s="23">
        <v>0</v>
      </c>
      <c r="H107" s="23">
        <v>0</v>
      </c>
      <c r="I107" s="22">
        <v>0</v>
      </c>
      <c r="J107" s="23">
        <v>0</v>
      </c>
      <c r="K107" s="23">
        <v>0</v>
      </c>
      <c r="L107" s="23">
        <v>0</v>
      </c>
      <c r="M107" s="23">
        <v>0</v>
      </c>
      <c r="N107" s="23">
        <v>0</v>
      </c>
      <c r="O107" s="23">
        <v>0</v>
      </c>
      <c r="P107" s="23">
        <v>0</v>
      </c>
      <c r="Q107" s="23">
        <v>0</v>
      </c>
      <c r="R107" s="23">
        <v>0</v>
      </c>
      <c r="S107" s="23">
        <v>0</v>
      </c>
      <c r="T107" s="23">
        <v>2172511.4277417073</v>
      </c>
      <c r="U107" s="23">
        <v>0</v>
      </c>
      <c r="V107" s="23">
        <v>0</v>
      </c>
      <c r="X107" s="6"/>
      <c r="Y107" s="6"/>
      <c r="Z107" s="6"/>
      <c r="AA107" s="6"/>
      <c r="AB107" s="6"/>
      <c r="AC107" s="36"/>
      <c r="AD107" s="6"/>
      <c r="AE107" s="6"/>
      <c r="AF107" s="6"/>
      <c r="AG107" s="6"/>
      <c r="AH107" s="6"/>
      <c r="AI107" s="6"/>
    </row>
    <row r="108" spans="1:35" ht="16.5" x14ac:dyDescent="0.3">
      <c r="A108" s="28">
        <f>SUM(G108:V108)-F108</f>
        <v>0</v>
      </c>
      <c r="B108" s="28"/>
      <c r="C108" s="29" t="s">
        <v>39</v>
      </c>
      <c r="D108" s="1">
        <f t="shared" si="18"/>
        <v>34</v>
      </c>
      <c r="E108" s="39" t="s">
        <v>90</v>
      </c>
      <c r="F108" s="31">
        <f>SUM(F98:F107)</f>
        <v>159302933.42198995</v>
      </c>
      <c r="G108" s="31">
        <f>SUM(G98:G107)</f>
        <v>0</v>
      </c>
      <c r="H108" s="31">
        <f>SUM(H98:H107)</f>
        <v>0</v>
      </c>
      <c r="I108" s="31">
        <f>SUM(I98:I107)</f>
        <v>0</v>
      </c>
      <c r="J108" s="31">
        <f t="shared" ref="J108:V108" si="19">SUM(J98:J107)</f>
        <v>0</v>
      </c>
      <c r="K108" s="31">
        <f t="shared" si="19"/>
        <v>51022060.90882007</v>
      </c>
      <c r="L108" s="31">
        <f t="shared" si="19"/>
        <v>52826448.115033939</v>
      </c>
      <c r="M108" s="31">
        <f t="shared" si="19"/>
        <v>14534065.486294216</v>
      </c>
      <c r="N108" s="31">
        <f t="shared" si="19"/>
        <v>5216703.7392868521</v>
      </c>
      <c r="O108" s="31">
        <f t="shared" si="19"/>
        <v>9233999.1396240965</v>
      </c>
      <c r="P108" s="31">
        <f t="shared" si="19"/>
        <v>7294529.9859101502</v>
      </c>
      <c r="Q108" s="31">
        <f t="shared" si="19"/>
        <v>8342723.0074508321</v>
      </c>
      <c r="R108" s="31">
        <f t="shared" si="19"/>
        <v>1764687.622662155</v>
      </c>
      <c r="S108" s="31">
        <f t="shared" si="19"/>
        <v>6895203.9891659217</v>
      </c>
      <c r="T108" s="31">
        <f t="shared" si="19"/>
        <v>2172511.4277417073</v>
      </c>
      <c r="U108" s="31">
        <f t="shared" si="19"/>
        <v>0</v>
      </c>
      <c r="V108" s="31">
        <f t="shared" si="19"/>
        <v>0</v>
      </c>
      <c r="X108" s="6"/>
      <c r="Y108" s="6"/>
      <c r="Z108" s="6"/>
      <c r="AA108" s="6"/>
      <c r="AB108" s="6"/>
      <c r="AC108" s="39"/>
      <c r="AD108" s="6"/>
      <c r="AE108" s="6"/>
      <c r="AF108" s="6"/>
      <c r="AG108" s="6"/>
      <c r="AH108" s="6"/>
      <c r="AI108" s="6"/>
    </row>
    <row r="109" spans="1:35" ht="16.5" x14ac:dyDescent="0.3">
      <c r="A109" s="28">
        <f>SUM(G109:V109)-F109</f>
        <v>0</v>
      </c>
      <c r="B109" s="28"/>
      <c r="C109" s="29" t="s">
        <v>39</v>
      </c>
      <c r="D109" s="1">
        <f t="shared" si="18"/>
        <v>35</v>
      </c>
      <c r="E109" s="39" t="s">
        <v>91</v>
      </c>
      <c r="F109" s="40">
        <f t="shared" ref="F109:V109" si="20">SUM(F108,F96,F87)</f>
        <v>1978787241.2109849</v>
      </c>
      <c r="G109" s="40">
        <f t="shared" si="20"/>
        <v>701690016.94151747</v>
      </c>
      <c r="H109" s="40">
        <f t="shared" si="20"/>
        <v>454700340.95811838</v>
      </c>
      <c r="I109" s="40">
        <f t="shared" si="20"/>
        <v>573148462.729316</v>
      </c>
      <c r="J109" s="40">
        <f t="shared" si="20"/>
        <v>51162276.884926058</v>
      </c>
      <c r="K109" s="40">
        <f t="shared" si="20"/>
        <v>62545797.271245137</v>
      </c>
      <c r="L109" s="40">
        <f t="shared" si="20"/>
        <v>52826448.115033939</v>
      </c>
      <c r="M109" s="40">
        <f t="shared" si="20"/>
        <v>14534065.486294216</v>
      </c>
      <c r="N109" s="40">
        <f t="shared" si="20"/>
        <v>5216703.7392868521</v>
      </c>
      <c r="O109" s="40">
        <f t="shared" si="20"/>
        <v>9233999.1396240965</v>
      </c>
      <c r="P109" s="40">
        <f t="shared" si="20"/>
        <v>7294529.9859101502</v>
      </c>
      <c r="Q109" s="40">
        <f t="shared" si="20"/>
        <v>8342723.0074508321</v>
      </c>
      <c r="R109" s="40">
        <f t="shared" si="20"/>
        <v>1764687.622662155</v>
      </c>
      <c r="S109" s="40">
        <f t="shared" si="20"/>
        <v>6895203.9891659217</v>
      </c>
      <c r="T109" s="40">
        <f t="shared" si="20"/>
        <v>2172511.4277417073</v>
      </c>
      <c r="U109" s="40">
        <f t="shared" si="20"/>
        <v>0</v>
      </c>
      <c r="V109" s="40">
        <f t="shared" si="20"/>
        <v>27259473.9126921</v>
      </c>
      <c r="X109" s="6"/>
      <c r="Y109" s="6"/>
      <c r="Z109" s="6"/>
      <c r="AA109" s="6"/>
      <c r="AB109" s="6"/>
      <c r="AC109" s="39"/>
      <c r="AD109" s="6"/>
      <c r="AE109" s="6"/>
      <c r="AF109" s="6"/>
      <c r="AG109" s="6"/>
      <c r="AH109" s="6"/>
      <c r="AI109" s="6"/>
    </row>
    <row r="110" spans="1:35" ht="16.5" x14ac:dyDescent="0.3">
      <c r="A110" s="19"/>
      <c r="B110" s="26" t="str">
        <f>IF(OverheadAlloc="Expenses","E-GTDC","L-GTDC")</f>
        <v>E-GTDC</v>
      </c>
      <c r="C110" s="26" t="s">
        <v>532</v>
      </c>
      <c r="D110" s="1">
        <f t="shared" si="18"/>
        <v>36</v>
      </c>
      <c r="E110" s="6" t="s">
        <v>92</v>
      </c>
      <c r="F110" s="52">
        <v>109768210.84733242</v>
      </c>
      <c r="G110" s="22">
        <f t="shared" ref="G110:V110" si="21">$F110*VLOOKUP($B110,RatiosIslInt,G$561,FALSE)</f>
        <v>51490821.60106688</v>
      </c>
      <c r="H110" s="22">
        <f t="shared" si="21"/>
        <v>18191987.65949624</v>
      </c>
      <c r="I110" s="22">
        <f t="shared" si="21"/>
        <v>22389192.571761932</v>
      </c>
      <c r="J110" s="22">
        <f t="shared" si="21"/>
        <v>3110810.6252398873</v>
      </c>
      <c r="K110" s="22">
        <f t="shared" si="21"/>
        <v>2092652.7780512334</v>
      </c>
      <c r="L110" s="22">
        <f t="shared" si="21"/>
        <v>3946722.3740346064</v>
      </c>
      <c r="M110" s="22">
        <f t="shared" si="21"/>
        <v>1076732.3332798362</v>
      </c>
      <c r="N110" s="22">
        <f t="shared" si="21"/>
        <v>329110.57873947918</v>
      </c>
      <c r="O110" s="22">
        <f t="shared" si="21"/>
        <v>582553.07427846862</v>
      </c>
      <c r="P110" s="22">
        <f t="shared" si="21"/>
        <v>570207.83574614418</v>
      </c>
      <c r="Q110" s="22">
        <f t="shared" si="21"/>
        <v>647091.80551198567</v>
      </c>
      <c r="R110" s="22">
        <f t="shared" si="21"/>
        <v>190028.66563295454</v>
      </c>
      <c r="S110" s="22">
        <f t="shared" si="21"/>
        <v>582103.57502739597</v>
      </c>
      <c r="T110" s="22">
        <f t="shared" si="21"/>
        <v>162146.4259856593</v>
      </c>
      <c r="U110" s="22">
        <f t="shared" si="21"/>
        <v>3543748.5312603628</v>
      </c>
      <c r="V110" s="22">
        <f t="shared" si="21"/>
        <v>862300.41221936129</v>
      </c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</row>
    <row r="111" spans="1:35" ht="16.5" x14ac:dyDescent="0.3">
      <c r="A111" s="28"/>
      <c r="B111" s="28"/>
      <c r="C111" s="26" t="s">
        <v>93</v>
      </c>
      <c r="D111" s="1">
        <f t="shared" si="18"/>
        <v>37</v>
      </c>
      <c r="E111" s="6" t="s">
        <v>94</v>
      </c>
      <c r="F111" s="22">
        <v>596295.38000000047</v>
      </c>
      <c r="G111" s="23">
        <f t="shared" ref="G111:V111" si="22">$F111*(G$109/SUM($G$109:$V$109))</f>
        <v>211449.97631897309</v>
      </c>
      <c r="H111" s="23">
        <f t="shared" si="22"/>
        <v>137021.15465016864</v>
      </c>
      <c r="I111" s="23">
        <f t="shared" si="22"/>
        <v>172714.76855209484</v>
      </c>
      <c r="J111" s="23">
        <f t="shared" si="22"/>
        <v>15417.437863654273</v>
      </c>
      <c r="K111" s="23">
        <f t="shared" si="22"/>
        <v>18847.791806276105</v>
      </c>
      <c r="L111" s="23">
        <f t="shared" si="22"/>
        <v>15918.925641306889</v>
      </c>
      <c r="M111" s="23">
        <f t="shared" si="22"/>
        <v>4379.7513555782216</v>
      </c>
      <c r="N111" s="23">
        <f t="shared" si="22"/>
        <v>1572.021627075876</v>
      </c>
      <c r="O111" s="23">
        <f t="shared" si="22"/>
        <v>2782.6089188406781</v>
      </c>
      <c r="P111" s="23">
        <f t="shared" si="22"/>
        <v>2198.1618029878491</v>
      </c>
      <c r="Q111" s="23">
        <f t="shared" si="22"/>
        <v>2514.0283312713245</v>
      </c>
      <c r="R111" s="23">
        <f t="shared" si="22"/>
        <v>531.77777510464045</v>
      </c>
      <c r="S111" s="23">
        <f t="shared" si="22"/>
        <v>2077.8273668173615</v>
      </c>
      <c r="T111" s="23">
        <f t="shared" si="22"/>
        <v>654.67297361730789</v>
      </c>
      <c r="U111" s="23">
        <f t="shared" si="22"/>
        <v>0</v>
      </c>
      <c r="V111" s="23">
        <f t="shared" si="22"/>
        <v>8214.4750162332912</v>
      </c>
      <c r="X111" s="6"/>
      <c r="Y111" s="6"/>
      <c r="Z111" s="6"/>
      <c r="AA111" s="6"/>
      <c r="AB111" s="6"/>
      <c r="AC111" s="1"/>
      <c r="AD111" s="6"/>
      <c r="AE111" s="6"/>
      <c r="AF111" s="6"/>
      <c r="AG111" s="6"/>
      <c r="AH111" s="6"/>
      <c r="AI111" s="6"/>
    </row>
    <row r="112" spans="1:35" ht="16.5" x14ac:dyDescent="0.3">
      <c r="A112" s="28"/>
      <c r="B112" s="28"/>
      <c r="C112" s="26" t="s">
        <v>544</v>
      </c>
      <c r="D112" s="1">
        <f t="shared" si="18"/>
        <v>38</v>
      </c>
      <c r="E112" s="6" t="s">
        <v>95</v>
      </c>
      <c r="F112" s="22">
        <f>SUM(G112:V112)</f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22">
        <v>0</v>
      </c>
      <c r="V112" s="22">
        <v>0</v>
      </c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</row>
    <row r="113" spans="1:35" ht="16.5" x14ac:dyDescent="0.3">
      <c r="A113" s="28"/>
      <c r="B113" s="28"/>
      <c r="C113" s="26" t="s">
        <v>545</v>
      </c>
      <c r="D113" s="1">
        <f t="shared" si="18"/>
        <v>39</v>
      </c>
      <c r="E113" s="6" t="s">
        <v>97</v>
      </c>
      <c r="F113" s="22">
        <f>SUM(G113:V113)</f>
        <v>-180126.59000000008</v>
      </c>
      <c r="G113" s="22">
        <v>-180126.59000000008</v>
      </c>
      <c r="H113" s="22">
        <v>0</v>
      </c>
      <c r="I113" s="22">
        <v>0</v>
      </c>
      <c r="J113" s="23">
        <v>0</v>
      </c>
      <c r="K113" s="23">
        <v>0</v>
      </c>
      <c r="L113" s="23">
        <v>0</v>
      </c>
      <c r="M113" s="23">
        <v>0</v>
      </c>
      <c r="N113" s="23">
        <v>0</v>
      </c>
      <c r="O113" s="23">
        <v>0</v>
      </c>
      <c r="P113" s="23">
        <v>0</v>
      </c>
      <c r="Q113" s="23">
        <v>0</v>
      </c>
      <c r="R113" s="23">
        <v>0</v>
      </c>
      <c r="S113" s="23">
        <v>0</v>
      </c>
      <c r="T113" s="23">
        <v>0</v>
      </c>
      <c r="U113" s="23">
        <v>0</v>
      </c>
      <c r="V113" s="23">
        <v>0</v>
      </c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</row>
    <row r="114" spans="1:35" ht="16.5" x14ac:dyDescent="0.3">
      <c r="A114" s="28"/>
      <c r="B114" s="28"/>
      <c r="C114" s="26" t="s">
        <v>99</v>
      </c>
      <c r="D114" s="1">
        <f t="shared" si="18"/>
        <v>40</v>
      </c>
      <c r="E114" s="6" t="s">
        <v>100</v>
      </c>
      <c r="F114" s="22">
        <v>0</v>
      </c>
      <c r="G114" s="23">
        <f t="shared" ref="G114:V115" si="23">$F114*(G$109/SUM($G$109:$V$109))</f>
        <v>0</v>
      </c>
      <c r="H114" s="23">
        <f t="shared" si="23"/>
        <v>0</v>
      </c>
      <c r="I114" s="23">
        <f t="shared" si="23"/>
        <v>0</v>
      </c>
      <c r="J114" s="23">
        <f t="shared" si="23"/>
        <v>0</v>
      </c>
      <c r="K114" s="23">
        <f t="shared" si="23"/>
        <v>0</v>
      </c>
      <c r="L114" s="23">
        <f t="shared" si="23"/>
        <v>0</v>
      </c>
      <c r="M114" s="23">
        <f t="shared" si="23"/>
        <v>0</v>
      </c>
      <c r="N114" s="23">
        <f t="shared" si="23"/>
        <v>0</v>
      </c>
      <c r="O114" s="23">
        <f t="shared" si="23"/>
        <v>0</v>
      </c>
      <c r="P114" s="23">
        <f t="shared" si="23"/>
        <v>0</v>
      </c>
      <c r="Q114" s="23">
        <f t="shared" si="23"/>
        <v>0</v>
      </c>
      <c r="R114" s="23">
        <f t="shared" si="23"/>
        <v>0</v>
      </c>
      <c r="S114" s="23">
        <f t="shared" si="23"/>
        <v>0</v>
      </c>
      <c r="T114" s="23">
        <f t="shared" si="23"/>
        <v>0</v>
      </c>
      <c r="U114" s="23">
        <f t="shared" si="23"/>
        <v>0</v>
      </c>
      <c r="V114" s="23">
        <f t="shared" si="23"/>
        <v>0</v>
      </c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</row>
    <row r="115" spans="1:35" ht="16.5" x14ac:dyDescent="0.3">
      <c r="A115" s="28"/>
      <c r="B115" s="28"/>
      <c r="C115" s="26" t="s">
        <v>533</v>
      </c>
      <c r="D115" s="1">
        <v>41</v>
      </c>
      <c r="E115" s="6" t="s">
        <v>101</v>
      </c>
      <c r="F115" s="22">
        <v>13768408.7945775</v>
      </c>
      <c r="G115" s="23">
        <f t="shared" si="23"/>
        <v>4882361.6804868607</v>
      </c>
      <c r="H115" s="23">
        <f t="shared" si="23"/>
        <v>3163806.6200153087</v>
      </c>
      <c r="I115" s="23">
        <f t="shared" si="23"/>
        <v>3987969.0805018116</v>
      </c>
      <c r="J115" s="23">
        <f t="shared" si="23"/>
        <v>355987.30795430526</v>
      </c>
      <c r="K115" s="23">
        <f t="shared" si="23"/>
        <v>435193.88405105117</v>
      </c>
      <c r="L115" s="23">
        <f t="shared" si="23"/>
        <v>367566.61740360095</v>
      </c>
      <c r="M115" s="23">
        <f t="shared" si="23"/>
        <v>101128.0803185258</v>
      </c>
      <c r="N115" s="23">
        <f t="shared" si="23"/>
        <v>36297.843520936731</v>
      </c>
      <c r="O115" s="23">
        <f t="shared" si="23"/>
        <v>64250.199473347842</v>
      </c>
      <c r="P115" s="23">
        <f t="shared" si="23"/>
        <v>50755.366074045734</v>
      </c>
      <c r="Q115" s="23">
        <f t="shared" si="23"/>
        <v>58048.696916104011</v>
      </c>
      <c r="R115" s="23">
        <f t="shared" si="23"/>
        <v>12278.702872914397</v>
      </c>
      <c r="S115" s="23">
        <f t="shared" si="23"/>
        <v>47976.854341722297</v>
      </c>
      <c r="T115" s="23">
        <f t="shared" si="23"/>
        <v>15116.342386427243</v>
      </c>
      <c r="U115" s="23">
        <f t="shared" si="23"/>
        <v>0</v>
      </c>
      <c r="V115" s="23">
        <f t="shared" si="23"/>
        <v>189671.51826053642</v>
      </c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</row>
    <row r="116" spans="1:35" ht="17.25" thickBot="1" x14ac:dyDescent="0.35">
      <c r="A116" s="28">
        <f>SUM(G116:V116)-F116</f>
        <v>0</v>
      </c>
      <c r="B116" s="28"/>
      <c r="C116" s="29" t="s">
        <v>39</v>
      </c>
      <c r="D116" s="1">
        <v>42</v>
      </c>
      <c r="E116" s="53" t="s">
        <v>108</v>
      </c>
      <c r="F116" s="41">
        <f t="shared" ref="F116:V116" si="24">SUM(F109:F115)</f>
        <v>2102740029.6428952</v>
      </c>
      <c r="G116" s="41">
        <f t="shared" si="24"/>
        <v>758094523.60939014</v>
      </c>
      <c r="H116" s="41">
        <f t="shared" si="24"/>
        <v>476193156.3922801</v>
      </c>
      <c r="I116" s="41">
        <f t="shared" si="24"/>
        <v>599698339.15013182</v>
      </c>
      <c r="J116" s="41">
        <f t="shared" si="24"/>
        <v>54644492.255983904</v>
      </c>
      <c r="K116" s="41">
        <f t="shared" si="24"/>
        <v>65092491.7251537</v>
      </c>
      <c r="L116" s="41">
        <f t="shared" si="24"/>
        <v>57156656.032113455</v>
      </c>
      <c r="M116" s="41">
        <f t="shared" si="24"/>
        <v>15716305.651248157</v>
      </c>
      <c r="N116" s="41">
        <f t="shared" si="24"/>
        <v>5583684.1831743438</v>
      </c>
      <c r="O116" s="41">
        <f t="shared" si="24"/>
        <v>9883585.0222947523</v>
      </c>
      <c r="P116" s="41">
        <f t="shared" si="24"/>
        <v>7917691.3495333279</v>
      </c>
      <c r="Q116" s="41">
        <f t="shared" si="24"/>
        <v>9050377.5382101908</v>
      </c>
      <c r="R116" s="41">
        <f t="shared" si="24"/>
        <v>1967526.7689431286</v>
      </c>
      <c r="S116" s="41">
        <f t="shared" si="24"/>
        <v>7527362.2459018575</v>
      </c>
      <c r="T116" s="41">
        <f t="shared" si="24"/>
        <v>2350428.8690874116</v>
      </c>
      <c r="U116" s="41">
        <f t="shared" si="24"/>
        <v>3543748.5312603628</v>
      </c>
      <c r="V116" s="41">
        <f t="shared" si="24"/>
        <v>28319660.318188228</v>
      </c>
      <c r="X116" s="6"/>
      <c r="Y116" s="6"/>
      <c r="Z116" s="6"/>
      <c r="AA116" s="6"/>
      <c r="AB116" s="6"/>
      <c r="AC116" s="53"/>
      <c r="AD116" s="6"/>
      <c r="AE116" s="6"/>
      <c r="AF116" s="6"/>
      <c r="AG116" s="6"/>
      <c r="AH116" s="6"/>
      <c r="AI116" s="6"/>
    </row>
    <row r="117" spans="1:35" ht="17.25" thickTop="1" x14ac:dyDescent="0.3">
      <c r="A117" s="28"/>
      <c r="B117" s="28"/>
      <c r="C117" s="26"/>
      <c r="D117" s="1"/>
      <c r="E117" s="6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</row>
    <row r="118" spans="1:35" ht="16.5" x14ac:dyDescent="0.3">
      <c r="A118" s="28"/>
      <c r="B118" s="28"/>
      <c r="C118" s="26"/>
      <c r="D118" s="1"/>
      <c r="E118" s="6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</row>
    <row r="119" spans="1:35" ht="16.5" x14ac:dyDescent="0.3">
      <c r="A119" s="28"/>
      <c r="B119" s="28"/>
      <c r="C119" s="26"/>
      <c r="D119" s="1"/>
      <c r="E119" s="6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</row>
    <row r="120" spans="1:35" ht="16.5" x14ac:dyDescent="0.3">
      <c r="A120" s="28"/>
      <c r="B120" s="28"/>
      <c r="C120" s="26"/>
      <c r="D120" s="1"/>
      <c r="E120" s="6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</row>
    <row r="121" spans="1:35" ht="16.5" x14ac:dyDescent="0.3">
      <c r="A121" s="28"/>
      <c r="B121" s="28"/>
      <c r="C121" s="26"/>
      <c r="D121" s="1"/>
      <c r="E121" s="6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42" t="s">
        <v>109</v>
      </c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</row>
    <row r="122" spans="1:35" ht="16.5" x14ac:dyDescent="0.3">
      <c r="A122" s="28"/>
      <c r="B122" s="28"/>
      <c r="C122" s="26"/>
      <c r="D122" s="1"/>
      <c r="E122" s="6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42" t="s">
        <v>110</v>
      </c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</row>
    <row r="123" spans="1:35" ht="16.5" x14ac:dyDescent="0.3">
      <c r="A123" s="43"/>
      <c r="B123" s="43"/>
      <c r="C123" s="44"/>
      <c r="D123" s="8" t="str">
        <f>D5</f>
        <v>NEWFOUNDLAND AND LABRADOR HYDRO</v>
      </c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8"/>
      <c r="W123" s="8"/>
      <c r="X123" s="8"/>
      <c r="Y123" s="8"/>
      <c r="Z123" s="6"/>
      <c r="AA123" s="6"/>
      <c r="AB123" s="6"/>
      <c r="AC123" s="10"/>
      <c r="AD123" s="6"/>
      <c r="AE123" s="6"/>
      <c r="AF123" s="6"/>
      <c r="AG123" s="6"/>
      <c r="AH123" s="6"/>
      <c r="AI123" s="6"/>
    </row>
    <row r="124" spans="1:35" ht="16.5" x14ac:dyDescent="0.3">
      <c r="A124" s="43"/>
      <c r="B124" s="43"/>
      <c r="C124" s="44"/>
      <c r="D124" s="8" t="str">
        <f>D6</f>
        <v>2027 Test Year Cost of Service Study</v>
      </c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8"/>
      <c r="W124" s="8"/>
      <c r="X124" s="8"/>
      <c r="Y124" s="8"/>
      <c r="Z124" s="6"/>
      <c r="AA124" s="6"/>
      <c r="AB124" s="6"/>
      <c r="AC124" s="10"/>
      <c r="AD124" s="6"/>
      <c r="AE124" s="6"/>
      <c r="AF124" s="6"/>
      <c r="AG124" s="6"/>
      <c r="AH124" s="6"/>
      <c r="AI124" s="6"/>
    </row>
    <row r="125" spans="1:35" ht="16.5" x14ac:dyDescent="0.3">
      <c r="A125" s="43"/>
      <c r="B125" s="43"/>
      <c r="C125" s="44"/>
      <c r="D125" s="8" t="str">
        <f>$B$1</f>
        <v>Island Interconnected</v>
      </c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8"/>
      <c r="W125" s="8"/>
      <c r="X125" s="8"/>
      <c r="Y125" s="8"/>
      <c r="Z125" s="6"/>
      <c r="AA125" s="6"/>
      <c r="AB125" s="6"/>
      <c r="AC125" s="10"/>
      <c r="AD125" s="6"/>
      <c r="AE125" s="6"/>
      <c r="AF125" s="6"/>
      <c r="AG125" s="6"/>
      <c r="AH125" s="6"/>
      <c r="AI125" s="6"/>
    </row>
    <row r="126" spans="1:35" ht="16.5" x14ac:dyDescent="0.3">
      <c r="A126" s="43"/>
      <c r="B126" s="43"/>
      <c r="C126" s="44"/>
      <c r="D126" s="8" t="s">
        <v>111</v>
      </c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8"/>
      <c r="W126" s="8"/>
      <c r="X126" s="8"/>
      <c r="Y126" s="8"/>
      <c r="Z126" s="6"/>
      <c r="AA126" s="6"/>
      <c r="AB126" s="6"/>
      <c r="AC126" s="10"/>
      <c r="AD126" s="6"/>
      <c r="AE126" s="6"/>
      <c r="AF126" s="6"/>
      <c r="AG126" s="6"/>
      <c r="AH126" s="6"/>
      <c r="AI126" s="6"/>
    </row>
    <row r="127" spans="1:35" ht="16.5" x14ac:dyDescent="0.3">
      <c r="A127" s="45"/>
      <c r="B127" s="45"/>
      <c r="C127" s="45"/>
      <c r="D127" s="1"/>
      <c r="E127" s="1">
        <f t="shared" ref="E127:V127" si="25">MAX(D127)+NoOne</f>
        <v>1</v>
      </c>
      <c r="F127" s="1">
        <f t="shared" si="25"/>
        <v>2</v>
      </c>
      <c r="G127" s="1">
        <f t="shared" si="25"/>
        <v>3</v>
      </c>
      <c r="H127" s="1">
        <f t="shared" si="25"/>
        <v>4</v>
      </c>
      <c r="I127" s="1">
        <f t="shared" si="25"/>
        <v>5</v>
      </c>
      <c r="J127" s="1">
        <f t="shared" si="25"/>
        <v>6</v>
      </c>
      <c r="K127" s="1">
        <f t="shared" si="25"/>
        <v>7</v>
      </c>
      <c r="L127" s="1">
        <f t="shared" si="25"/>
        <v>8</v>
      </c>
      <c r="M127" s="1">
        <f t="shared" si="25"/>
        <v>9</v>
      </c>
      <c r="N127" s="1">
        <f t="shared" si="25"/>
        <v>10</v>
      </c>
      <c r="O127" s="1">
        <f t="shared" si="25"/>
        <v>11</v>
      </c>
      <c r="P127" s="1">
        <f t="shared" si="25"/>
        <v>12</v>
      </c>
      <c r="Q127" s="1">
        <f t="shared" si="25"/>
        <v>13</v>
      </c>
      <c r="R127" s="1">
        <f t="shared" si="25"/>
        <v>14</v>
      </c>
      <c r="S127" s="1">
        <f t="shared" si="25"/>
        <v>15</v>
      </c>
      <c r="T127" s="1">
        <f t="shared" si="25"/>
        <v>16</v>
      </c>
      <c r="U127" s="1">
        <f t="shared" si="25"/>
        <v>17</v>
      </c>
      <c r="V127" s="1">
        <f t="shared" si="25"/>
        <v>18</v>
      </c>
      <c r="X127" s="6"/>
      <c r="Y127" s="6"/>
      <c r="Z127" s="6"/>
      <c r="AA127" s="6"/>
      <c r="AB127" s="6"/>
      <c r="AC127" s="13"/>
      <c r="AD127" s="6"/>
      <c r="AE127" s="6"/>
      <c r="AF127" s="6"/>
      <c r="AG127" s="6"/>
      <c r="AH127" s="6"/>
      <c r="AI127" s="6"/>
    </row>
    <row r="128" spans="1:35" s="12" customFormat="1" ht="16.5" x14ac:dyDescent="0.3">
      <c r="A128" s="45"/>
      <c r="B128" s="45"/>
      <c r="C128" s="46"/>
      <c r="D128" s="1"/>
      <c r="E128" s="13"/>
      <c r="F128" s="25"/>
      <c r="G128" s="13"/>
      <c r="H128" s="13"/>
      <c r="J128" s="13" t="s">
        <v>8</v>
      </c>
      <c r="K128" s="47" t="s">
        <v>9</v>
      </c>
      <c r="L128" s="47"/>
      <c r="M128" s="47"/>
      <c r="N128" s="47"/>
      <c r="O128" s="47"/>
      <c r="P128" s="47"/>
      <c r="Q128" s="47"/>
      <c r="R128" s="47"/>
      <c r="S128" s="47"/>
      <c r="T128" s="47"/>
      <c r="U128" s="23"/>
      <c r="V128" s="25" t="s">
        <v>10</v>
      </c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</row>
    <row r="129" spans="1:35" s="12" customFormat="1" ht="16.5" x14ac:dyDescent="0.3">
      <c r="A129" s="45"/>
      <c r="B129" s="45"/>
      <c r="C129" s="46"/>
      <c r="D129" s="1" t="s">
        <v>14</v>
      </c>
      <c r="E129" s="13"/>
      <c r="F129" s="25" t="s">
        <v>15</v>
      </c>
      <c r="G129" s="13" t="s">
        <v>16</v>
      </c>
      <c r="H129" s="13" t="s">
        <v>16</v>
      </c>
      <c r="I129" s="13" t="s">
        <v>17</v>
      </c>
      <c r="J129" s="25" t="s">
        <v>17</v>
      </c>
      <c r="K129" s="25" t="s">
        <v>18</v>
      </c>
      <c r="L129" s="47" t="s">
        <v>19</v>
      </c>
      <c r="M129" s="47"/>
      <c r="N129" s="47" t="s">
        <v>20</v>
      </c>
      <c r="O129" s="47"/>
      <c r="P129" s="47" t="s">
        <v>21</v>
      </c>
      <c r="Q129" s="47"/>
      <c r="R129" s="48" t="s">
        <v>22</v>
      </c>
      <c r="S129" s="48" t="s">
        <v>23</v>
      </c>
      <c r="T129" s="49" t="s">
        <v>24</v>
      </c>
      <c r="U129" s="48" t="s">
        <v>25</v>
      </c>
      <c r="V129" s="25" t="s">
        <v>26</v>
      </c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</row>
    <row r="130" spans="1:35" s="12" customFormat="1" ht="16.5" x14ac:dyDescent="0.3">
      <c r="A130" s="45"/>
      <c r="B130" s="45"/>
      <c r="C130" s="46"/>
      <c r="D130" s="1" t="s">
        <v>30</v>
      </c>
      <c r="E130" s="13" t="s">
        <v>31</v>
      </c>
      <c r="F130" s="25" t="s">
        <v>32</v>
      </c>
      <c r="G130" s="25" t="s">
        <v>33</v>
      </c>
      <c r="H130" s="25" t="s">
        <v>34</v>
      </c>
      <c r="I130" s="13" t="s">
        <v>33</v>
      </c>
      <c r="J130" s="25" t="s">
        <v>33</v>
      </c>
      <c r="K130" s="25" t="s">
        <v>33</v>
      </c>
      <c r="L130" s="25" t="s">
        <v>33</v>
      </c>
      <c r="M130" s="25" t="s">
        <v>35</v>
      </c>
      <c r="N130" s="25" t="s">
        <v>33</v>
      </c>
      <c r="O130" s="25" t="s">
        <v>35</v>
      </c>
      <c r="P130" s="25" t="s">
        <v>33</v>
      </c>
      <c r="Q130" s="25" t="s">
        <v>35</v>
      </c>
      <c r="R130" s="25" t="s">
        <v>35</v>
      </c>
      <c r="S130" s="25" t="s">
        <v>35</v>
      </c>
      <c r="T130" s="25" t="s">
        <v>35</v>
      </c>
      <c r="U130" s="25" t="s">
        <v>35</v>
      </c>
      <c r="V130" s="25" t="s">
        <v>35</v>
      </c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</row>
    <row r="131" spans="1:35" s="12" customFormat="1" ht="16.5" x14ac:dyDescent="0.3">
      <c r="A131" s="45"/>
      <c r="B131" s="45"/>
      <c r="C131" s="46"/>
      <c r="D131" s="1"/>
      <c r="E131" s="20" t="s">
        <v>16</v>
      </c>
      <c r="F131" s="25" t="s">
        <v>37</v>
      </c>
      <c r="G131" s="25" t="s">
        <v>37</v>
      </c>
      <c r="H131" s="25" t="s">
        <v>37</v>
      </c>
      <c r="I131" s="13" t="s">
        <v>37</v>
      </c>
      <c r="J131" s="25" t="s">
        <v>37</v>
      </c>
      <c r="K131" s="25" t="s">
        <v>37</v>
      </c>
      <c r="L131" s="25" t="s">
        <v>37</v>
      </c>
      <c r="M131" s="25" t="s">
        <v>37</v>
      </c>
      <c r="N131" s="25" t="s">
        <v>37</v>
      </c>
      <c r="O131" s="25" t="s">
        <v>37</v>
      </c>
      <c r="P131" s="25" t="s">
        <v>37</v>
      </c>
      <c r="Q131" s="25" t="s">
        <v>37</v>
      </c>
      <c r="R131" s="25" t="s">
        <v>37</v>
      </c>
      <c r="S131" s="25" t="s">
        <v>37</v>
      </c>
      <c r="T131" s="25" t="s">
        <v>37</v>
      </c>
      <c r="U131" s="25" t="s">
        <v>37</v>
      </c>
      <c r="V131" s="25" t="s">
        <v>37</v>
      </c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</row>
    <row r="132" spans="1:35" ht="16.5" x14ac:dyDescent="0.3">
      <c r="A132" s="28"/>
      <c r="B132" s="28"/>
      <c r="C132" s="26"/>
      <c r="D132" s="1"/>
      <c r="E132" s="20" t="s">
        <v>38</v>
      </c>
      <c r="F132" s="22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X132" s="6"/>
      <c r="Y132" s="6"/>
      <c r="Z132" s="6"/>
      <c r="AA132" s="6"/>
      <c r="AB132" s="6"/>
      <c r="AC132" s="20"/>
      <c r="AD132" s="6"/>
      <c r="AE132" s="6"/>
      <c r="AF132" s="6"/>
      <c r="AG132" s="6"/>
      <c r="AH132" s="6"/>
      <c r="AI132" s="6"/>
    </row>
    <row r="133" spans="1:35" ht="16.5" x14ac:dyDescent="0.3">
      <c r="A133" s="28"/>
      <c r="B133" s="28"/>
      <c r="C133" s="24" t="s">
        <v>40</v>
      </c>
      <c r="D133" s="1">
        <f t="shared" ref="D133:D147" si="26">MAX(D130:D132)+NoOne</f>
        <v>1</v>
      </c>
      <c r="E133" s="6" t="s">
        <v>41</v>
      </c>
      <c r="F133" s="22">
        <v>18997664.585060131</v>
      </c>
      <c r="G133" s="22">
        <v>9444255.0632939618</v>
      </c>
      <c r="H133" s="22">
        <v>9553409.521766169</v>
      </c>
      <c r="I133" s="22">
        <v>0</v>
      </c>
      <c r="J133" s="22">
        <v>0</v>
      </c>
      <c r="K133" s="22">
        <v>0</v>
      </c>
      <c r="L133" s="22">
        <v>0</v>
      </c>
      <c r="M133" s="22">
        <v>0</v>
      </c>
      <c r="N133" s="22">
        <v>0</v>
      </c>
      <c r="O133" s="22">
        <v>0</v>
      </c>
      <c r="P133" s="22">
        <v>0</v>
      </c>
      <c r="Q133" s="22">
        <v>0</v>
      </c>
      <c r="R133" s="22">
        <v>0</v>
      </c>
      <c r="S133" s="22">
        <v>0</v>
      </c>
      <c r="T133" s="22">
        <v>0</v>
      </c>
      <c r="U133" s="22">
        <v>0</v>
      </c>
      <c r="V133" s="22">
        <v>0</v>
      </c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</row>
    <row r="134" spans="1:35" ht="16.5" x14ac:dyDescent="0.3">
      <c r="A134" s="28"/>
      <c r="B134" s="28"/>
      <c r="C134" s="26" t="s">
        <v>42</v>
      </c>
      <c r="D134" s="1">
        <f t="shared" si="26"/>
        <v>2</v>
      </c>
      <c r="E134" s="6" t="s">
        <v>43</v>
      </c>
      <c r="F134" s="22">
        <v>14735.310000000012</v>
      </c>
      <c r="G134" s="22">
        <v>7325.3228286884087</v>
      </c>
      <c r="H134" s="22">
        <v>7409.9871713116036</v>
      </c>
      <c r="I134" s="22">
        <v>0</v>
      </c>
      <c r="J134" s="22">
        <v>0</v>
      </c>
      <c r="K134" s="22">
        <v>0</v>
      </c>
      <c r="L134" s="22">
        <v>0</v>
      </c>
      <c r="M134" s="22">
        <v>0</v>
      </c>
      <c r="N134" s="22">
        <v>0</v>
      </c>
      <c r="O134" s="22">
        <v>0</v>
      </c>
      <c r="P134" s="22">
        <v>0</v>
      </c>
      <c r="Q134" s="22">
        <v>0</v>
      </c>
      <c r="R134" s="22">
        <v>0</v>
      </c>
      <c r="S134" s="22">
        <v>0</v>
      </c>
      <c r="T134" s="22">
        <v>0</v>
      </c>
      <c r="U134" s="22">
        <v>0</v>
      </c>
      <c r="V134" s="22">
        <v>0</v>
      </c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</row>
    <row r="135" spans="1:35" ht="16.5" x14ac:dyDescent="0.3">
      <c r="A135" s="28"/>
      <c r="B135" s="28"/>
      <c r="C135" s="24" t="s">
        <v>44</v>
      </c>
      <c r="D135" s="1">
        <f t="shared" si="26"/>
        <v>3</v>
      </c>
      <c r="E135" s="6" t="s">
        <v>45</v>
      </c>
      <c r="F135" s="22">
        <v>30668.389999999996</v>
      </c>
      <c r="G135" s="22">
        <v>15246.089657164937</v>
      </c>
      <c r="H135" s="22">
        <v>15422.300342835058</v>
      </c>
      <c r="I135" s="22">
        <v>0</v>
      </c>
      <c r="J135" s="22">
        <v>0</v>
      </c>
      <c r="K135" s="22">
        <v>0</v>
      </c>
      <c r="L135" s="22">
        <v>0</v>
      </c>
      <c r="M135" s="22">
        <v>0</v>
      </c>
      <c r="N135" s="22">
        <v>0</v>
      </c>
      <c r="O135" s="22">
        <v>0</v>
      </c>
      <c r="P135" s="22">
        <v>0</v>
      </c>
      <c r="Q135" s="22">
        <v>0</v>
      </c>
      <c r="R135" s="22">
        <v>0</v>
      </c>
      <c r="S135" s="22">
        <v>0</v>
      </c>
      <c r="T135" s="22">
        <v>0</v>
      </c>
      <c r="U135" s="22">
        <v>0</v>
      </c>
      <c r="V135" s="22">
        <v>0</v>
      </c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</row>
    <row r="136" spans="1:35" ht="16.5" x14ac:dyDescent="0.3">
      <c r="A136" s="28"/>
      <c r="B136" s="28"/>
      <c r="C136" s="24" t="s">
        <v>46</v>
      </c>
      <c r="D136" s="1">
        <f t="shared" si="26"/>
        <v>4</v>
      </c>
      <c r="E136" s="6" t="s">
        <v>47</v>
      </c>
      <c r="F136" s="22">
        <v>5514.5999999999958</v>
      </c>
      <c r="G136" s="22">
        <v>2741.4574427741959</v>
      </c>
      <c r="H136" s="22">
        <v>2773.1425572257999</v>
      </c>
      <c r="I136" s="22">
        <v>0</v>
      </c>
      <c r="J136" s="22">
        <v>0</v>
      </c>
      <c r="K136" s="22">
        <v>0</v>
      </c>
      <c r="L136" s="22">
        <v>0</v>
      </c>
      <c r="M136" s="22">
        <v>0</v>
      </c>
      <c r="N136" s="22">
        <v>0</v>
      </c>
      <c r="O136" s="22">
        <v>0</v>
      </c>
      <c r="P136" s="22">
        <v>0</v>
      </c>
      <c r="Q136" s="22">
        <v>0</v>
      </c>
      <c r="R136" s="22">
        <v>0</v>
      </c>
      <c r="S136" s="22">
        <v>0</v>
      </c>
      <c r="T136" s="22">
        <v>0</v>
      </c>
      <c r="U136" s="22">
        <v>0</v>
      </c>
      <c r="V136" s="22">
        <v>0</v>
      </c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</row>
    <row r="137" spans="1:35" ht="16.5" x14ac:dyDescent="0.3">
      <c r="A137" s="28"/>
      <c r="B137" s="28"/>
      <c r="C137" s="24" t="s">
        <v>48</v>
      </c>
      <c r="D137" s="1">
        <f t="shared" si="26"/>
        <v>5</v>
      </c>
      <c r="E137" s="6" t="s">
        <v>49</v>
      </c>
      <c r="F137" s="22">
        <v>171.60999999999984</v>
      </c>
      <c r="G137" s="22">
        <v>85.311992121727712</v>
      </c>
      <c r="H137" s="22">
        <v>86.298007878272131</v>
      </c>
      <c r="I137" s="22">
        <v>0</v>
      </c>
      <c r="J137" s="22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2">
        <v>0</v>
      </c>
      <c r="Q137" s="22">
        <v>0</v>
      </c>
      <c r="R137" s="22">
        <v>0</v>
      </c>
      <c r="S137" s="22">
        <v>0</v>
      </c>
      <c r="T137" s="22">
        <v>0</v>
      </c>
      <c r="U137" s="22">
        <v>0</v>
      </c>
      <c r="V137" s="22">
        <v>0</v>
      </c>
      <c r="X137" s="6"/>
      <c r="Y137" s="6"/>
      <c r="Z137" s="6"/>
      <c r="AA137" s="6"/>
      <c r="AB137" s="6"/>
      <c r="AC137" s="1"/>
      <c r="AD137" s="6"/>
      <c r="AE137" s="6"/>
      <c r="AF137" s="6"/>
      <c r="AG137" s="6"/>
      <c r="AH137" s="6"/>
      <c r="AI137" s="6"/>
    </row>
    <row r="138" spans="1:35" ht="16.5" x14ac:dyDescent="0.3">
      <c r="A138" s="28"/>
      <c r="B138" s="28"/>
      <c r="C138" s="24" t="s">
        <v>50</v>
      </c>
      <c r="D138" s="1">
        <f t="shared" si="26"/>
        <v>6</v>
      </c>
      <c r="E138" s="6" t="s">
        <v>51</v>
      </c>
      <c r="F138" s="22">
        <v>11635.87000000001</v>
      </c>
      <c r="G138" s="22">
        <v>5784.5070203918749</v>
      </c>
      <c r="H138" s="22">
        <v>5851.362979608135</v>
      </c>
      <c r="I138" s="22">
        <v>0</v>
      </c>
      <c r="J138" s="22">
        <v>0</v>
      </c>
      <c r="K138" s="22">
        <v>0</v>
      </c>
      <c r="L138" s="22">
        <v>0</v>
      </c>
      <c r="M138" s="22">
        <v>0</v>
      </c>
      <c r="N138" s="22">
        <v>0</v>
      </c>
      <c r="O138" s="22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</row>
    <row r="139" spans="1:35" ht="16.5" x14ac:dyDescent="0.3">
      <c r="A139" s="28"/>
      <c r="B139" s="28"/>
      <c r="C139" s="24" t="s">
        <v>52</v>
      </c>
      <c r="D139" s="1">
        <f t="shared" si="26"/>
        <v>7</v>
      </c>
      <c r="E139" s="6" t="s">
        <v>53</v>
      </c>
      <c r="F139" s="22">
        <v>0</v>
      </c>
      <c r="G139" s="22">
        <v>0</v>
      </c>
      <c r="H139" s="22">
        <v>0</v>
      </c>
      <c r="I139" s="22">
        <v>0</v>
      </c>
      <c r="J139" s="22">
        <v>0</v>
      </c>
      <c r="K139" s="22">
        <v>0</v>
      </c>
      <c r="L139" s="22">
        <v>0</v>
      </c>
      <c r="M139" s="22">
        <v>0</v>
      </c>
      <c r="N139" s="22">
        <v>0</v>
      </c>
      <c r="O139" s="22">
        <v>0</v>
      </c>
      <c r="P139" s="22">
        <v>0</v>
      </c>
      <c r="Q139" s="22">
        <v>0</v>
      </c>
      <c r="R139" s="22">
        <v>0</v>
      </c>
      <c r="S139" s="22">
        <v>0</v>
      </c>
      <c r="T139" s="22">
        <v>0</v>
      </c>
      <c r="U139" s="22">
        <v>0</v>
      </c>
      <c r="V139" s="22">
        <v>0</v>
      </c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</row>
    <row r="140" spans="1:35" ht="16.5" x14ac:dyDescent="0.3">
      <c r="A140" s="28"/>
      <c r="B140" s="28"/>
      <c r="C140" s="24"/>
      <c r="D140" s="1">
        <f t="shared" si="26"/>
        <v>8</v>
      </c>
      <c r="E140" s="6" t="s">
        <v>112</v>
      </c>
      <c r="F140" s="22">
        <v>720638</v>
      </c>
      <c r="G140" s="22">
        <v>358248.72314327647</v>
      </c>
      <c r="H140" s="22">
        <v>362389.27685672353</v>
      </c>
      <c r="I140" s="22">
        <v>0</v>
      </c>
      <c r="J140" s="22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0</v>
      </c>
      <c r="Q140" s="22">
        <v>0</v>
      </c>
      <c r="R140" s="22">
        <v>0</v>
      </c>
      <c r="S140" s="22">
        <v>0</v>
      </c>
      <c r="T140" s="22">
        <v>0</v>
      </c>
      <c r="U140" s="22">
        <v>0</v>
      </c>
      <c r="V140" s="22">
        <v>0</v>
      </c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</row>
    <row r="141" spans="1:35" ht="16.5" x14ac:dyDescent="0.3">
      <c r="A141" s="28"/>
      <c r="B141" s="28"/>
      <c r="C141" s="24" t="s">
        <v>56</v>
      </c>
      <c r="D141" s="1">
        <f t="shared" si="26"/>
        <v>9</v>
      </c>
      <c r="E141" s="6" t="s">
        <v>106</v>
      </c>
      <c r="F141" s="22">
        <v>3221.89</v>
      </c>
      <c r="G141" s="22">
        <v>1601.6890291770499</v>
      </c>
      <c r="H141" s="22">
        <v>1620.20097082295</v>
      </c>
      <c r="I141" s="22">
        <v>0</v>
      </c>
      <c r="J141" s="22">
        <v>0</v>
      </c>
      <c r="K141" s="22">
        <v>0</v>
      </c>
      <c r="L141" s="22">
        <v>0</v>
      </c>
      <c r="M141" s="22">
        <v>0</v>
      </c>
      <c r="N141" s="22">
        <v>0</v>
      </c>
      <c r="O141" s="22">
        <v>0</v>
      </c>
      <c r="P141" s="22">
        <v>0</v>
      </c>
      <c r="Q141" s="22">
        <v>0</v>
      </c>
      <c r="R141" s="22">
        <v>0</v>
      </c>
      <c r="S141" s="22">
        <v>0</v>
      </c>
      <c r="T141" s="22">
        <v>0</v>
      </c>
      <c r="U141" s="22">
        <v>0</v>
      </c>
      <c r="V141" s="22">
        <v>0</v>
      </c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</row>
    <row r="142" spans="1:35" ht="16.5" x14ac:dyDescent="0.3">
      <c r="A142" s="28">
        <f>SUM(G142:V142)-F142</f>
        <v>0</v>
      </c>
      <c r="B142" s="28"/>
      <c r="C142" s="29" t="s">
        <v>39</v>
      </c>
      <c r="D142" s="1">
        <v>10</v>
      </c>
      <c r="E142" s="20" t="s">
        <v>58</v>
      </c>
      <c r="F142" s="30">
        <f>SUM(F133:F141)</f>
        <v>19784250.255060133</v>
      </c>
      <c r="G142" s="30">
        <f>SUM(G133:G141)</f>
        <v>9835288.164407555</v>
      </c>
      <c r="H142" s="30">
        <f>SUM(H133:H141)</f>
        <v>9948962.0906525739</v>
      </c>
      <c r="I142" s="30">
        <f>SUM(I133:I141)</f>
        <v>0</v>
      </c>
      <c r="J142" s="30">
        <f>SUM(J133:J141)</f>
        <v>0</v>
      </c>
      <c r="K142" s="30">
        <v>0</v>
      </c>
      <c r="L142" s="30">
        <v>0</v>
      </c>
      <c r="M142" s="30">
        <v>0</v>
      </c>
      <c r="N142" s="30">
        <v>0</v>
      </c>
      <c r="O142" s="30">
        <v>0</v>
      </c>
      <c r="P142" s="30">
        <v>0</v>
      </c>
      <c r="Q142" s="30">
        <v>0</v>
      </c>
      <c r="R142" s="30">
        <v>0</v>
      </c>
      <c r="S142" s="30">
        <v>0</v>
      </c>
      <c r="T142" s="30">
        <v>0</v>
      </c>
      <c r="U142" s="30">
        <v>0</v>
      </c>
      <c r="V142" s="30">
        <v>0</v>
      </c>
      <c r="X142" s="6"/>
      <c r="Y142" s="6"/>
      <c r="Z142" s="6"/>
      <c r="AA142" s="6"/>
      <c r="AB142" s="6"/>
      <c r="AC142" s="20"/>
      <c r="AD142" s="6"/>
      <c r="AE142" s="6"/>
      <c r="AF142" s="6"/>
      <c r="AG142" s="6"/>
      <c r="AH142" s="6"/>
      <c r="AI142" s="6"/>
    </row>
    <row r="143" spans="1:35" ht="16.5" x14ac:dyDescent="0.3">
      <c r="A143" s="28"/>
      <c r="B143" s="28"/>
      <c r="C143" s="26" t="s">
        <v>546</v>
      </c>
      <c r="D143" s="1">
        <v>11</v>
      </c>
      <c r="E143" s="6" t="s">
        <v>60</v>
      </c>
      <c r="F143" s="22">
        <f>SUM(G143:V143)</f>
        <v>31706546.567149986</v>
      </c>
      <c r="G143" s="22">
        <v>28168095.970256045</v>
      </c>
      <c r="H143" s="22">
        <v>3538450.5968939387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0</v>
      </c>
      <c r="Q143" s="22">
        <v>0</v>
      </c>
      <c r="R143" s="22">
        <v>0</v>
      </c>
      <c r="S143" s="22">
        <v>0</v>
      </c>
      <c r="T143" s="22">
        <v>0</v>
      </c>
      <c r="U143" s="22">
        <v>0</v>
      </c>
      <c r="V143" s="22">
        <v>0</v>
      </c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</row>
    <row r="144" spans="1:35" ht="16.5" x14ac:dyDescent="0.3">
      <c r="A144" s="28"/>
      <c r="B144" s="28"/>
      <c r="C144" s="24" t="s">
        <v>61</v>
      </c>
      <c r="D144" s="1">
        <f t="shared" si="26"/>
        <v>12</v>
      </c>
      <c r="E144" s="6" t="s">
        <v>62</v>
      </c>
      <c r="F144" s="22">
        <v>5751896.9788173409</v>
      </c>
      <c r="G144" s="22">
        <v>5751896.9788173409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2">
        <v>0</v>
      </c>
      <c r="Q144" s="22">
        <v>0</v>
      </c>
      <c r="R144" s="22">
        <v>0</v>
      </c>
      <c r="S144" s="22">
        <v>0</v>
      </c>
      <c r="T144" s="22">
        <v>0</v>
      </c>
      <c r="U144" s="22">
        <v>0</v>
      </c>
      <c r="V144" s="22">
        <v>0</v>
      </c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</row>
    <row r="145" spans="1:35" ht="16.5" x14ac:dyDescent="0.3">
      <c r="A145" s="28"/>
      <c r="B145" s="28"/>
      <c r="C145" s="26" t="s">
        <v>63</v>
      </c>
      <c r="D145" s="1">
        <f t="shared" si="26"/>
        <v>13</v>
      </c>
      <c r="E145" s="6" t="s">
        <v>64</v>
      </c>
      <c r="F145" s="22">
        <v>0</v>
      </c>
      <c r="G145" s="22">
        <v>0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22">
        <v>0</v>
      </c>
      <c r="P145" s="22">
        <v>0</v>
      </c>
      <c r="Q145" s="22">
        <v>0</v>
      </c>
      <c r="R145" s="22">
        <v>0</v>
      </c>
      <c r="S145" s="22">
        <v>0</v>
      </c>
      <c r="T145" s="22">
        <v>0</v>
      </c>
      <c r="U145" s="22">
        <v>0</v>
      </c>
      <c r="V145" s="22">
        <v>0</v>
      </c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</row>
    <row r="146" spans="1:35" ht="16.5" x14ac:dyDescent="0.3">
      <c r="A146" s="28"/>
      <c r="B146" s="28"/>
      <c r="C146" s="26" t="s">
        <v>547</v>
      </c>
      <c r="D146" s="1">
        <f t="shared" si="26"/>
        <v>14</v>
      </c>
      <c r="E146" s="6" t="s">
        <v>65</v>
      </c>
      <c r="F146" s="22">
        <f>SUM(G146:V146)</f>
        <v>200824.0009562136</v>
      </c>
      <c r="G146" s="22">
        <v>200824.0009562136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  <c r="Q146" s="22">
        <v>0</v>
      </c>
      <c r="R146" s="22">
        <v>0</v>
      </c>
      <c r="S146" s="22">
        <v>0</v>
      </c>
      <c r="T146" s="22">
        <v>0</v>
      </c>
      <c r="U146" s="22">
        <v>0</v>
      </c>
      <c r="V146" s="22">
        <v>0</v>
      </c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</row>
    <row r="147" spans="1:35" ht="16.5" x14ac:dyDescent="0.3">
      <c r="A147" s="28">
        <f>SUM(G147:V147)-F147</f>
        <v>0</v>
      </c>
      <c r="B147" s="28"/>
      <c r="C147" s="29" t="s">
        <v>39</v>
      </c>
      <c r="D147" s="1">
        <f t="shared" si="26"/>
        <v>15</v>
      </c>
      <c r="E147" s="20" t="s">
        <v>66</v>
      </c>
      <c r="F147" s="30">
        <f>SUM(F142:F146)</f>
        <v>57443517.801983677</v>
      </c>
      <c r="G147" s="30">
        <f>SUM(G142:G146)</f>
        <v>43956105.114437155</v>
      </c>
      <c r="H147" s="30">
        <f>SUM(H142:H146)</f>
        <v>13487412.687546512</v>
      </c>
      <c r="I147" s="30">
        <f>SUM(I142:I146)</f>
        <v>0</v>
      </c>
      <c r="J147" s="30">
        <f>SUM(J142:J146)</f>
        <v>0</v>
      </c>
      <c r="K147" s="30">
        <v>0</v>
      </c>
      <c r="L147" s="30">
        <v>0</v>
      </c>
      <c r="M147" s="30">
        <v>0</v>
      </c>
      <c r="N147" s="30">
        <v>0</v>
      </c>
      <c r="O147" s="30">
        <v>0</v>
      </c>
      <c r="P147" s="30">
        <v>0</v>
      </c>
      <c r="Q147" s="30">
        <v>0</v>
      </c>
      <c r="R147" s="30">
        <v>0</v>
      </c>
      <c r="S147" s="30">
        <v>0</v>
      </c>
      <c r="T147" s="30">
        <v>0</v>
      </c>
      <c r="U147" s="30">
        <v>0</v>
      </c>
      <c r="V147" s="30">
        <v>0</v>
      </c>
      <c r="X147" s="6"/>
      <c r="Y147" s="6"/>
      <c r="Z147" s="6"/>
      <c r="AA147" s="6"/>
      <c r="AB147" s="6"/>
      <c r="AC147" s="20"/>
      <c r="AD147" s="6"/>
      <c r="AE147" s="6"/>
      <c r="AF147" s="6"/>
      <c r="AG147" s="6"/>
      <c r="AH147" s="6"/>
      <c r="AI147" s="6"/>
    </row>
    <row r="148" spans="1:35" ht="16.5" x14ac:dyDescent="0.3">
      <c r="A148" s="28"/>
      <c r="B148" s="28"/>
      <c r="C148" s="26"/>
      <c r="D148" s="1"/>
      <c r="E148" s="20" t="s">
        <v>17</v>
      </c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X148" s="6"/>
      <c r="Y148" s="6"/>
      <c r="Z148" s="6"/>
      <c r="AA148" s="6"/>
      <c r="AB148" s="6"/>
      <c r="AC148" s="20"/>
      <c r="AD148" s="6"/>
      <c r="AE148" s="6"/>
      <c r="AF148" s="6"/>
      <c r="AG148" s="6"/>
      <c r="AH148" s="6"/>
      <c r="AI148" s="6"/>
    </row>
    <row r="149" spans="1:35" ht="16.5" x14ac:dyDescent="0.3">
      <c r="A149" s="28"/>
      <c r="B149" s="28"/>
      <c r="C149" s="26" t="s">
        <v>548</v>
      </c>
      <c r="D149" s="1">
        <f t="shared" ref="D149:D156" si="27">MAX(D146:D148)+NoOne</f>
        <v>16</v>
      </c>
      <c r="E149" s="6" t="s">
        <v>67</v>
      </c>
      <c r="F149" s="22">
        <f>SUM(G149:V149)</f>
        <v>10711224.950569261</v>
      </c>
      <c r="G149" s="22">
        <v>303275.59920626739</v>
      </c>
      <c r="H149" s="22">
        <v>306780.78660086193</v>
      </c>
      <c r="I149" s="22">
        <v>8146138.8384764306</v>
      </c>
      <c r="J149" s="22">
        <v>1411968.2187662811</v>
      </c>
      <c r="K149" s="22">
        <v>0</v>
      </c>
      <c r="L149" s="22">
        <v>0</v>
      </c>
      <c r="M149" s="22">
        <v>0</v>
      </c>
      <c r="N149" s="22">
        <v>0</v>
      </c>
      <c r="O149" s="22">
        <v>0</v>
      </c>
      <c r="P149" s="22">
        <v>0</v>
      </c>
      <c r="Q149" s="22">
        <v>0</v>
      </c>
      <c r="R149" s="22">
        <v>0</v>
      </c>
      <c r="S149" s="22">
        <v>0</v>
      </c>
      <c r="T149" s="22">
        <v>0</v>
      </c>
      <c r="U149" s="22">
        <v>0</v>
      </c>
      <c r="V149" s="22">
        <v>543061.50751942117</v>
      </c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</row>
    <row r="150" spans="1:35" ht="16.5" x14ac:dyDescent="0.3">
      <c r="A150" s="28"/>
      <c r="B150" s="28"/>
      <c r="C150" s="26" t="s">
        <v>549</v>
      </c>
      <c r="D150" s="1">
        <f t="shared" si="27"/>
        <v>17</v>
      </c>
      <c r="E150" s="6" t="s">
        <v>113</v>
      </c>
      <c r="F150" s="22">
        <f>SUM(G150:V150)</f>
        <v>7749077.759202688</v>
      </c>
      <c r="G150" s="22">
        <v>0</v>
      </c>
      <c r="H150" s="22">
        <v>0</v>
      </c>
      <c r="I150" s="22">
        <v>6810065.1129261181</v>
      </c>
      <c r="J150" s="22">
        <v>568683.71618948143</v>
      </c>
      <c r="K150" s="22">
        <v>0</v>
      </c>
      <c r="L150" s="22">
        <v>0</v>
      </c>
      <c r="M150" s="22">
        <v>0</v>
      </c>
      <c r="N150" s="22">
        <v>0</v>
      </c>
      <c r="O150" s="22">
        <v>0</v>
      </c>
      <c r="P150" s="22">
        <v>0</v>
      </c>
      <c r="Q150" s="22">
        <v>0</v>
      </c>
      <c r="R150" s="22">
        <v>0</v>
      </c>
      <c r="S150" s="22">
        <v>0</v>
      </c>
      <c r="T150" s="22">
        <v>0</v>
      </c>
      <c r="U150" s="22">
        <v>0</v>
      </c>
      <c r="V150" s="22">
        <v>370328.93008708872</v>
      </c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</row>
    <row r="151" spans="1:35" ht="16.5" x14ac:dyDescent="0.3">
      <c r="A151" s="32"/>
      <c r="B151" s="32"/>
      <c r="C151" s="26" t="s">
        <v>550</v>
      </c>
      <c r="D151" s="1">
        <v>18</v>
      </c>
      <c r="E151" s="33" t="str">
        <f>+E33</f>
        <v>Term Stns - Hydraulic</v>
      </c>
      <c r="F151" s="22">
        <f>SUM(G151:V151)</f>
        <v>930929.09119260404</v>
      </c>
      <c r="G151" s="22">
        <v>462790.13631904114</v>
      </c>
      <c r="H151" s="22">
        <v>468138.95487356291</v>
      </c>
      <c r="I151" s="22">
        <v>0</v>
      </c>
      <c r="J151" s="22">
        <v>0</v>
      </c>
      <c r="K151" s="22">
        <v>0</v>
      </c>
      <c r="L151" s="22">
        <v>0</v>
      </c>
      <c r="M151" s="22">
        <v>0</v>
      </c>
      <c r="N151" s="22">
        <v>0</v>
      </c>
      <c r="O151" s="22">
        <v>0</v>
      </c>
      <c r="P151" s="22">
        <v>0</v>
      </c>
      <c r="Q151" s="22">
        <v>0</v>
      </c>
      <c r="R151" s="22">
        <v>0</v>
      </c>
      <c r="S151" s="22">
        <v>0</v>
      </c>
      <c r="T151" s="22">
        <v>0</v>
      </c>
      <c r="U151" s="22">
        <v>0</v>
      </c>
      <c r="V151" s="22">
        <v>0</v>
      </c>
      <c r="X151" s="6"/>
      <c r="Y151" s="6"/>
      <c r="Z151" s="6"/>
      <c r="AA151" s="6"/>
      <c r="AB151" s="6"/>
      <c r="AC151" s="33"/>
      <c r="AD151" s="6"/>
      <c r="AE151" s="6"/>
      <c r="AF151" s="6"/>
      <c r="AG151" s="6"/>
      <c r="AH151" s="6"/>
      <c r="AI151" s="6"/>
    </row>
    <row r="152" spans="1:35" ht="16.5" x14ac:dyDescent="0.3">
      <c r="A152" s="32"/>
      <c r="B152" s="32"/>
      <c r="C152" s="26" t="s">
        <v>70</v>
      </c>
      <c r="D152" s="1">
        <v>19</v>
      </c>
      <c r="E152" s="33" t="str">
        <f>+E34</f>
        <v>Term Stns - Holyrood</v>
      </c>
      <c r="F152" s="22">
        <v>396428.00027027016</v>
      </c>
      <c r="G152" s="22">
        <v>352186.63544010802</v>
      </c>
      <c r="H152" s="22">
        <v>44241.364830162151</v>
      </c>
      <c r="I152" s="22">
        <v>0</v>
      </c>
      <c r="J152" s="22">
        <v>0</v>
      </c>
      <c r="K152" s="22">
        <v>0</v>
      </c>
      <c r="L152" s="22">
        <v>0</v>
      </c>
      <c r="M152" s="22">
        <v>0</v>
      </c>
      <c r="N152" s="22">
        <v>0</v>
      </c>
      <c r="O152" s="22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X152" s="6"/>
      <c r="Y152" s="6"/>
      <c r="Z152" s="6"/>
      <c r="AA152" s="6"/>
      <c r="AB152" s="6"/>
      <c r="AC152" s="33"/>
      <c r="AD152" s="6"/>
      <c r="AE152" s="6"/>
      <c r="AF152" s="6"/>
      <c r="AG152" s="6"/>
      <c r="AH152" s="6"/>
      <c r="AI152" s="6"/>
    </row>
    <row r="153" spans="1:35" ht="16.5" x14ac:dyDescent="0.3">
      <c r="A153" s="32"/>
      <c r="B153" s="32"/>
      <c r="C153" s="26" t="s">
        <v>551</v>
      </c>
      <c r="D153" s="1">
        <v>20</v>
      </c>
      <c r="E153" s="33" t="str">
        <f>+E35</f>
        <v>Term Stns - Gas Tur/Dsl</v>
      </c>
      <c r="F153" s="22">
        <f>SUM(G153:V153)</f>
        <v>9923.2100000000009</v>
      </c>
      <c r="G153" s="22">
        <v>9923.2100000000009</v>
      </c>
      <c r="H153" s="22">
        <v>0</v>
      </c>
      <c r="I153" s="22">
        <v>0</v>
      </c>
      <c r="J153" s="22">
        <v>0</v>
      </c>
      <c r="K153" s="22">
        <v>0</v>
      </c>
      <c r="L153" s="22">
        <v>0</v>
      </c>
      <c r="M153" s="22">
        <v>0</v>
      </c>
      <c r="N153" s="22">
        <v>0</v>
      </c>
      <c r="O153" s="22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X153" s="6"/>
      <c r="Y153" s="6"/>
      <c r="Z153" s="6"/>
      <c r="AA153" s="6"/>
      <c r="AB153" s="6"/>
      <c r="AC153" s="33"/>
      <c r="AD153" s="6"/>
      <c r="AE153" s="6"/>
      <c r="AF153" s="6"/>
      <c r="AG153" s="6"/>
      <c r="AH153" s="6"/>
      <c r="AI153" s="6"/>
    </row>
    <row r="154" spans="1:35" ht="16.5" x14ac:dyDescent="0.3">
      <c r="A154" s="32"/>
      <c r="B154" s="32"/>
      <c r="C154" s="26" t="s">
        <v>73</v>
      </c>
      <c r="D154" s="1">
        <f t="shared" si="27"/>
        <v>21</v>
      </c>
      <c r="E154" s="36" t="s">
        <v>74</v>
      </c>
      <c r="F154" s="22">
        <v>381353.42489252408</v>
      </c>
      <c r="G154" s="34">
        <v>0</v>
      </c>
      <c r="H154" s="34">
        <v>0</v>
      </c>
      <c r="I154" s="34">
        <v>0</v>
      </c>
      <c r="J154" s="34">
        <v>0</v>
      </c>
      <c r="K154" s="34">
        <f>F154</f>
        <v>381353.42489252408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X154" s="6"/>
      <c r="Y154" s="6"/>
      <c r="Z154" s="6"/>
      <c r="AA154" s="6"/>
      <c r="AB154" s="6"/>
      <c r="AC154" s="36"/>
      <c r="AD154" s="6"/>
      <c r="AE154" s="6"/>
      <c r="AF154" s="6"/>
      <c r="AG154" s="6"/>
      <c r="AH154" s="6"/>
      <c r="AI154" s="6"/>
    </row>
    <row r="155" spans="1:35" ht="16.5" x14ac:dyDescent="0.3">
      <c r="A155" s="28">
        <f>SUM(G155:V155)-F155</f>
        <v>0</v>
      </c>
      <c r="B155" s="28"/>
      <c r="C155" s="29"/>
      <c r="D155" s="1">
        <f t="shared" si="27"/>
        <v>22</v>
      </c>
      <c r="E155" s="39" t="s">
        <v>76</v>
      </c>
      <c r="F155" s="30">
        <f t="shared" ref="F155:V155" si="28">SUM(F150:F154)</f>
        <v>9467711.485558087</v>
      </c>
      <c r="G155" s="30">
        <f t="shared" si="28"/>
        <v>824899.98175914912</v>
      </c>
      <c r="H155" s="30">
        <f t="shared" si="28"/>
        <v>512380.31970372505</v>
      </c>
      <c r="I155" s="30">
        <f t="shared" si="28"/>
        <v>6810065.1129261181</v>
      </c>
      <c r="J155" s="30">
        <f t="shared" si="28"/>
        <v>568683.71618948143</v>
      </c>
      <c r="K155" s="30">
        <f t="shared" si="28"/>
        <v>381353.42489252408</v>
      </c>
      <c r="L155" s="30">
        <f t="shared" si="28"/>
        <v>0</v>
      </c>
      <c r="M155" s="30">
        <f t="shared" si="28"/>
        <v>0</v>
      </c>
      <c r="N155" s="30">
        <f t="shared" si="28"/>
        <v>0</v>
      </c>
      <c r="O155" s="30">
        <f t="shared" si="28"/>
        <v>0</v>
      </c>
      <c r="P155" s="30">
        <f t="shared" si="28"/>
        <v>0</v>
      </c>
      <c r="Q155" s="30">
        <f t="shared" si="28"/>
        <v>0</v>
      </c>
      <c r="R155" s="30">
        <f t="shared" si="28"/>
        <v>0</v>
      </c>
      <c r="S155" s="30">
        <f t="shared" si="28"/>
        <v>0</v>
      </c>
      <c r="T155" s="30">
        <f t="shared" si="28"/>
        <v>0</v>
      </c>
      <c r="U155" s="30">
        <f t="shared" si="28"/>
        <v>0</v>
      </c>
      <c r="V155" s="30">
        <f t="shared" si="28"/>
        <v>370328.93008708872</v>
      </c>
      <c r="X155" s="6"/>
      <c r="Y155" s="6"/>
      <c r="Z155" s="6"/>
      <c r="AA155" s="6"/>
      <c r="AB155" s="6"/>
      <c r="AC155" s="39"/>
      <c r="AD155" s="6"/>
      <c r="AE155" s="6"/>
      <c r="AF155" s="6"/>
      <c r="AG155" s="6"/>
      <c r="AH155" s="6"/>
      <c r="AI155" s="6"/>
    </row>
    <row r="156" spans="1:35" ht="19.5" customHeight="1" x14ac:dyDescent="0.3">
      <c r="A156" s="28">
        <f>SUM(G156:V156)-F156</f>
        <v>0</v>
      </c>
      <c r="B156" s="28"/>
      <c r="C156" s="29" t="s">
        <v>39</v>
      </c>
      <c r="D156" s="1">
        <f t="shared" si="27"/>
        <v>23</v>
      </c>
      <c r="E156" s="37" t="s">
        <v>77</v>
      </c>
      <c r="F156" s="30">
        <f t="shared" ref="F156:V156" si="29">SUM(F155,F149)</f>
        <v>20178936.43612735</v>
      </c>
      <c r="G156" s="30">
        <f t="shared" si="29"/>
        <v>1128175.5809654165</v>
      </c>
      <c r="H156" s="30">
        <f t="shared" si="29"/>
        <v>819161.10630458698</v>
      </c>
      <c r="I156" s="30">
        <f t="shared" si="29"/>
        <v>14956203.951402549</v>
      </c>
      <c r="J156" s="30">
        <f t="shared" si="29"/>
        <v>1980651.9349557627</v>
      </c>
      <c r="K156" s="30">
        <f t="shared" si="29"/>
        <v>381353.42489252408</v>
      </c>
      <c r="L156" s="30">
        <f t="shared" si="29"/>
        <v>0</v>
      </c>
      <c r="M156" s="30">
        <f t="shared" si="29"/>
        <v>0</v>
      </c>
      <c r="N156" s="30">
        <f t="shared" si="29"/>
        <v>0</v>
      </c>
      <c r="O156" s="30">
        <f t="shared" si="29"/>
        <v>0</v>
      </c>
      <c r="P156" s="30">
        <f t="shared" si="29"/>
        <v>0</v>
      </c>
      <c r="Q156" s="30">
        <f t="shared" si="29"/>
        <v>0</v>
      </c>
      <c r="R156" s="30">
        <f t="shared" si="29"/>
        <v>0</v>
      </c>
      <c r="S156" s="30">
        <f t="shared" si="29"/>
        <v>0</v>
      </c>
      <c r="T156" s="30">
        <f t="shared" si="29"/>
        <v>0</v>
      </c>
      <c r="U156" s="30">
        <f t="shared" si="29"/>
        <v>0</v>
      </c>
      <c r="V156" s="30">
        <f t="shared" si="29"/>
        <v>913390.43760650989</v>
      </c>
      <c r="X156" s="6"/>
      <c r="Y156" s="6"/>
      <c r="Z156" s="6"/>
      <c r="AA156" s="6"/>
      <c r="AB156" s="6"/>
      <c r="AC156" s="37"/>
      <c r="AD156" s="6"/>
      <c r="AE156" s="6"/>
      <c r="AF156" s="6"/>
      <c r="AG156" s="6"/>
      <c r="AH156" s="6"/>
      <c r="AI156" s="6"/>
    </row>
    <row r="157" spans="1:35" ht="16.5" customHeight="1" x14ac:dyDescent="0.3">
      <c r="A157" s="28"/>
      <c r="B157" s="28"/>
      <c r="C157" s="26"/>
      <c r="D157" s="1"/>
      <c r="E157" s="20" t="s">
        <v>9</v>
      </c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X157" s="6"/>
      <c r="Y157" s="6"/>
      <c r="Z157" s="6"/>
      <c r="AA157" s="6"/>
      <c r="AB157" s="6"/>
      <c r="AC157" s="20"/>
      <c r="AD157" s="6"/>
      <c r="AE157" s="6"/>
      <c r="AF157" s="6"/>
      <c r="AG157" s="6"/>
      <c r="AH157" s="6"/>
      <c r="AI157" s="6"/>
    </row>
    <row r="158" spans="1:35" ht="16.5" x14ac:dyDescent="0.3">
      <c r="A158" s="28"/>
      <c r="B158" s="28"/>
      <c r="C158" s="26" t="s">
        <v>552</v>
      </c>
      <c r="D158" s="1">
        <f t="shared" ref="D158:D173" si="30">MAX(D155:D157)+NoOne</f>
        <v>24</v>
      </c>
      <c r="E158" s="36" t="s">
        <v>18</v>
      </c>
      <c r="F158" s="22">
        <f>SUM(G158:V158)</f>
        <v>1291291.741229495</v>
      </c>
      <c r="G158" s="22">
        <v>0</v>
      </c>
      <c r="H158" s="22">
        <v>0</v>
      </c>
      <c r="I158" s="22">
        <v>0</v>
      </c>
      <c r="J158" s="22">
        <v>0</v>
      </c>
      <c r="K158" s="22">
        <v>1291291.741229495</v>
      </c>
      <c r="L158" s="22">
        <v>0</v>
      </c>
      <c r="M158" s="22">
        <v>0</v>
      </c>
      <c r="N158" s="22">
        <v>0</v>
      </c>
      <c r="O158" s="22">
        <v>0</v>
      </c>
      <c r="P158" s="22">
        <v>0</v>
      </c>
      <c r="Q158" s="22">
        <v>0</v>
      </c>
      <c r="R158" s="22">
        <v>0</v>
      </c>
      <c r="S158" s="22">
        <v>0</v>
      </c>
      <c r="T158" s="22">
        <v>0</v>
      </c>
      <c r="U158" s="22">
        <v>0</v>
      </c>
      <c r="V158" s="22">
        <v>0</v>
      </c>
      <c r="X158" s="6"/>
      <c r="Y158" s="6"/>
      <c r="Z158" s="6"/>
      <c r="AA158" s="6"/>
      <c r="AB158" s="6"/>
      <c r="AC158" s="36"/>
      <c r="AD158" s="6"/>
      <c r="AE158" s="6"/>
      <c r="AF158" s="6"/>
      <c r="AG158" s="6"/>
      <c r="AH158" s="6"/>
      <c r="AI158" s="6"/>
    </row>
    <row r="159" spans="1:35" ht="16.5" x14ac:dyDescent="0.3">
      <c r="A159" s="28"/>
      <c r="B159" s="28"/>
      <c r="C159" s="26" t="s">
        <v>79</v>
      </c>
      <c r="D159" s="1">
        <f t="shared" si="30"/>
        <v>25</v>
      </c>
      <c r="E159" s="36" t="s">
        <v>80</v>
      </c>
      <c r="F159" s="22">
        <v>43713.489999999983</v>
      </c>
      <c r="G159" s="22">
        <v>0</v>
      </c>
      <c r="H159" s="22">
        <v>0</v>
      </c>
      <c r="I159" s="22">
        <v>0</v>
      </c>
      <c r="J159" s="22">
        <v>0</v>
      </c>
      <c r="K159" s="22">
        <v>0</v>
      </c>
      <c r="L159" s="22">
        <v>32957.785785499989</v>
      </c>
      <c r="M159" s="22">
        <v>4198.6807144999984</v>
      </c>
      <c r="N159" s="22">
        <v>0</v>
      </c>
      <c r="O159" s="22">
        <v>0</v>
      </c>
      <c r="P159" s="22">
        <v>3822.7447004999981</v>
      </c>
      <c r="Q159" s="22">
        <v>2734.2787994999985</v>
      </c>
      <c r="R159" s="22">
        <v>0</v>
      </c>
      <c r="S159" s="22">
        <v>0</v>
      </c>
      <c r="T159" s="22">
        <v>0</v>
      </c>
      <c r="U159" s="22">
        <v>0</v>
      </c>
      <c r="V159" s="22">
        <v>0</v>
      </c>
      <c r="X159" s="6"/>
      <c r="Y159" s="6"/>
      <c r="Z159" s="6"/>
      <c r="AA159" s="6"/>
      <c r="AB159" s="6"/>
      <c r="AC159" s="36"/>
      <c r="AD159" s="6"/>
      <c r="AE159" s="6"/>
      <c r="AF159" s="6"/>
      <c r="AG159" s="6"/>
      <c r="AH159" s="6"/>
      <c r="AI159" s="6"/>
    </row>
    <row r="160" spans="1:35" ht="16.5" x14ac:dyDescent="0.3">
      <c r="A160" s="28"/>
      <c r="B160" s="28"/>
      <c r="C160" s="26" t="s">
        <v>79</v>
      </c>
      <c r="D160" s="1">
        <f t="shared" si="30"/>
        <v>26</v>
      </c>
      <c r="E160" s="36" t="s">
        <v>81</v>
      </c>
      <c r="F160" s="22">
        <v>4179458.0823136736</v>
      </c>
      <c r="G160" s="22">
        <v>0</v>
      </c>
      <c r="H160" s="22">
        <v>0</v>
      </c>
      <c r="I160" s="22">
        <v>0</v>
      </c>
      <c r="J160" s="22">
        <v>0</v>
      </c>
      <c r="K160" s="22">
        <v>0</v>
      </c>
      <c r="L160" s="22">
        <v>2417181.2229899485</v>
      </c>
      <c r="M160" s="22">
        <v>826078.24888546229</v>
      </c>
      <c r="N160" s="22">
        <v>0</v>
      </c>
      <c r="O160" s="22">
        <v>0</v>
      </c>
      <c r="P160" s="22">
        <v>427842.76497028611</v>
      </c>
      <c r="Q160" s="22">
        <v>508355.84546797682</v>
      </c>
      <c r="R160" s="22">
        <v>0</v>
      </c>
      <c r="S160" s="22">
        <v>0</v>
      </c>
      <c r="T160" s="22">
        <v>0</v>
      </c>
      <c r="U160" s="22">
        <v>0</v>
      </c>
      <c r="V160" s="22">
        <v>0</v>
      </c>
      <c r="X160" s="6"/>
      <c r="Y160" s="6"/>
      <c r="Z160" s="6"/>
      <c r="AA160" s="6"/>
      <c r="AB160" s="6"/>
      <c r="AC160" s="36"/>
      <c r="AD160" s="6"/>
      <c r="AE160" s="6"/>
      <c r="AF160" s="6"/>
      <c r="AG160" s="6"/>
      <c r="AH160" s="6"/>
      <c r="AI160" s="6"/>
    </row>
    <row r="161" spans="1:35" ht="16.5" x14ac:dyDescent="0.3">
      <c r="A161" s="28"/>
      <c r="B161" s="28"/>
      <c r="C161" s="26" t="s">
        <v>79</v>
      </c>
      <c r="D161" s="1">
        <f t="shared" si="30"/>
        <v>27</v>
      </c>
      <c r="E161" s="36" t="s">
        <v>82</v>
      </c>
      <c r="F161" s="22">
        <v>547958.66884320532</v>
      </c>
      <c r="G161" s="22">
        <v>0</v>
      </c>
      <c r="H161" s="22">
        <v>0</v>
      </c>
      <c r="I161" s="22">
        <v>0</v>
      </c>
      <c r="J161" s="22">
        <v>0</v>
      </c>
      <c r="K161" s="22">
        <v>0</v>
      </c>
      <c r="L161" s="22">
        <v>486039.33926392312</v>
      </c>
      <c r="M161" s="22">
        <v>61919.329579282203</v>
      </c>
      <c r="N161" s="22">
        <v>0</v>
      </c>
      <c r="O161" s="22">
        <v>0</v>
      </c>
      <c r="P161" s="22">
        <v>0</v>
      </c>
      <c r="Q161" s="22">
        <v>0</v>
      </c>
      <c r="R161" s="22">
        <v>0</v>
      </c>
      <c r="S161" s="22">
        <v>0</v>
      </c>
      <c r="T161" s="22">
        <v>0</v>
      </c>
      <c r="U161" s="22">
        <v>0</v>
      </c>
      <c r="V161" s="22">
        <v>0</v>
      </c>
      <c r="X161" s="6"/>
      <c r="Y161" s="6"/>
      <c r="Z161" s="6"/>
      <c r="AA161" s="6"/>
      <c r="AB161" s="6"/>
      <c r="AC161" s="36"/>
      <c r="AD161" s="6"/>
      <c r="AE161" s="6"/>
      <c r="AF161" s="6"/>
      <c r="AG161" s="6"/>
      <c r="AH161" s="6"/>
      <c r="AI161" s="6"/>
    </row>
    <row r="162" spans="1:35" ht="16.5" x14ac:dyDescent="0.3">
      <c r="A162" s="28"/>
      <c r="B162" s="28"/>
      <c r="C162" s="24" t="s">
        <v>83</v>
      </c>
      <c r="D162" s="1">
        <f t="shared" si="30"/>
        <v>28</v>
      </c>
      <c r="E162" s="36" t="s">
        <v>84</v>
      </c>
      <c r="F162" s="22">
        <v>178059.90999999997</v>
      </c>
      <c r="G162" s="22">
        <v>0</v>
      </c>
      <c r="H162" s="22">
        <v>0</v>
      </c>
      <c r="I162" s="22">
        <v>0</v>
      </c>
      <c r="J162" s="22">
        <v>0</v>
      </c>
      <c r="K162" s="22">
        <v>0</v>
      </c>
      <c r="L162" s="22">
        <v>178059.90999999997</v>
      </c>
      <c r="M162" s="22">
        <v>0</v>
      </c>
      <c r="N162" s="22">
        <v>0</v>
      </c>
      <c r="O162" s="22">
        <v>0</v>
      </c>
      <c r="P162" s="22">
        <v>0</v>
      </c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X162" s="6"/>
      <c r="Y162" s="6"/>
      <c r="Z162" s="6"/>
      <c r="AA162" s="6"/>
      <c r="AB162" s="6"/>
      <c r="AC162" s="36"/>
      <c r="AD162" s="6"/>
      <c r="AE162" s="6"/>
      <c r="AF162" s="6"/>
      <c r="AG162" s="6"/>
      <c r="AH162" s="6"/>
      <c r="AI162" s="6"/>
    </row>
    <row r="163" spans="1:35" ht="16.5" x14ac:dyDescent="0.3">
      <c r="A163" s="28"/>
      <c r="B163" s="28"/>
      <c r="C163" s="26" t="s">
        <v>79</v>
      </c>
      <c r="D163" s="1">
        <f t="shared" si="30"/>
        <v>29</v>
      </c>
      <c r="E163" s="36" t="s">
        <v>85</v>
      </c>
      <c r="F163" s="22">
        <v>761905.02048909233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  <c r="M163" s="22">
        <v>0</v>
      </c>
      <c r="N163" s="22">
        <v>275047.71239656233</v>
      </c>
      <c r="O163" s="22">
        <v>486857.30809253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X163" s="6"/>
      <c r="Y163" s="6"/>
      <c r="Z163" s="6"/>
      <c r="AA163" s="6"/>
      <c r="AB163" s="6"/>
      <c r="AC163" s="1"/>
      <c r="AD163" s="6"/>
      <c r="AE163" s="6"/>
      <c r="AF163" s="6"/>
      <c r="AG163" s="6"/>
      <c r="AH163" s="6"/>
      <c r="AI163" s="6"/>
    </row>
    <row r="164" spans="1:35" ht="16.5" x14ac:dyDescent="0.3">
      <c r="A164" s="28"/>
      <c r="B164" s="28"/>
      <c r="C164" s="26" t="s">
        <v>79</v>
      </c>
      <c r="D164" s="1">
        <f t="shared" si="30"/>
        <v>30</v>
      </c>
      <c r="E164" s="36" t="s">
        <v>86</v>
      </c>
      <c r="F164" s="22">
        <v>42304.980936505213</v>
      </c>
      <c r="G164" s="34">
        <v>0</v>
      </c>
      <c r="H164" s="34">
        <v>0</v>
      </c>
      <c r="I164" s="22">
        <v>0</v>
      </c>
      <c r="J164" s="34">
        <v>0</v>
      </c>
      <c r="K164" s="34">
        <v>0</v>
      </c>
      <c r="L164" s="34">
        <v>0</v>
      </c>
      <c r="M164" s="34">
        <v>0</v>
      </c>
      <c r="N164" s="34">
        <v>0</v>
      </c>
      <c r="O164" s="34">
        <v>0</v>
      </c>
      <c r="P164" s="34">
        <v>24663.803885982539</v>
      </c>
      <c r="Q164" s="34">
        <v>17641.177050522674</v>
      </c>
      <c r="R164" s="34">
        <v>0</v>
      </c>
      <c r="S164" s="34">
        <v>0</v>
      </c>
      <c r="T164" s="34">
        <v>0</v>
      </c>
      <c r="U164" s="34">
        <v>0</v>
      </c>
      <c r="V164" s="34">
        <v>0</v>
      </c>
      <c r="X164" s="6"/>
      <c r="Y164" s="6"/>
      <c r="Z164" s="6"/>
      <c r="AA164" s="6"/>
      <c r="AB164" s="6"/>
      <c r="AC164" s="36"/>
      <c r="AD164" s="6"/>
      <c r="AE164" s="6"/>
      <c r="AF164" s="6"/>
      <c r="AG164" s="6"/>
      <c r="AH164" s="6"/>
      <c r="AI164" s="6"/>
    </row>
    <row r="165" spans="1:35" ht="16.5" x14ac:dyDescent="0.3">
      <c r="A165" s="28"/>
      <c r="B165" s="28"/>
      <c r="C165" s="26" t="s">
        <v>79</v>
      </c>
      <c r="D165" s="1">
        <f t="shared" si="30"/>
        <v>31</v>
      </c>
      <c r="E165" s="36" t="s">
        <v>22</v>
      </c>
      <c r="F165" s="22">
        <v>116961.61222139769</v>
      </c>
      <c r="G165" s="34">
        <v>0</v>
      </c>
      <c r="H165" s="34">
        <v>0</v>
      </c>
      <c r="I165" s="22">
        <v>0</v>
      </c>
      <c r="J165" s="34">
        <v>0</v>
      </c>
      <c r="K165" s="34">
        <v>0</v>
      </c>
      <c r="L165" s="34">
        <v>0</v>
      </c>
      <c r="M165" s="34">
        <v>0</v>
      </c>
      <c r="N165" s="34">
        <v>0</v>
      </c>
      <c r="O165" s="34">
        <v>0</v>
      </c>
      <c r="P165" s="34">
        <v>0</v>
      </c>
      <c r="Q165" s="34">
        <v>0</v>
      </c>
      <c r="R165" s="34">
        <v>116961.61222139769</v>
      </c>
      <c r="S165" s="34">
        <v>0</v>
      </c>
      <c r="T165" s="34">
        <v>0</v>
      </c>
      <c r="U165" s="34">
        <v>0</v>
      </c>
      <c r="V165" s="34">
        <v>0</v>
      </c>
      <c r="X165" s="6"/>
      <c r="Y165" s="6"/>
      <c r="Z165" s="6"/>
      <c r="AA165" s="6"/>
      <c r="AB165" s="6"/>
      <c r="AC165" s="36"/>
      <c r="AD165" s="6"/>
      <c r="AE165" s="6"/>
      <c r="AF165" s="6"/>
      <c r="AG165" s="6"/>
      <c r="AH165" s="6"/>
      <c r="AI165" s="6"/>
    </row>
    <row r="166" spans="1:35" ht="16.5" x14ac:dyDescent="0.3">
      <c r="A166" s="28"/>
      <c r="B166" s="28"/>
      <c r="C166" s="26" t="s">
        <v>534</v>
      </c>
      <c r="D166" s="1">
        <f t="shared" si="30"/>
        <v>32</v>
      </c>
      <c r="E166" s="36" t="s">
        <v>23</v>
      </c>
      <c r="F166" s="22">
        <v>516551.02651407826</v>
      </c>
      <c r="G166" s="34">
        <v>0</v>
      </c>
      <c r="H166" s="34">
        <v>0</v>
      </c>
      <c r="I166" s="22">
        <v>0</v>
      </c>
      <c r="J166" s="34">
        <v>0</v>
      </c>
      <c r="K166" s="34">
        <v>0</v>
      </c>
      <c r="L166" s="34">
        <v>0</v>
      </c>
      <c r="M166" s="34">
        <v>0</v>
      </c>
      <c r="N166" s="34">
        <v>0</v>
      </c>
      <c r="O166" s="34">
        <v>0</v>
      </c>
      <c r="P166" s="34">
        <v>0</v>
      </c>
      <c r="Q166" s="34">
        <v>0</v>
      </c>
      <c r="R166" s="34">
        <v>0</v>
      </c>
      <c r="S166" s="34">
        <v>516551.02651407826</v>
      </c>
      <c r="T166" s="34">
        <v>0</v>
      </c>
      <c r="U166" s="34">
        <v>0</v>
      </c>
      <c r="V166" s="34">
        <v>0</v>
      </c>
      <c r="X166" s="6"/>
      <c r="Y166" s="6"/>
      <c r="Z166" s="6"/>
      <c r="AA166" s="6"/>
      <c r="AB166" s="6"/>
      <c r="AC166" s="36"/>
      <c r="AD166" s="6"/>
      <c r="AE166" s="6"/>
      <c r="AF166" s="6"/>
      <c r="AG166" s="6"/>
      <c r="AH166" s="6"/>
      <c r="AI166" s="6"/>
    </row>
    <row r="167" spans="1:35" ht="16.5" x14ac:dyDescent="0.3">
      <c r="A167" s="28"/>
      <c r="B167" s="28"/>
      <c r="C167" s="26" t="s">
        <v>79</v>
      </c>
      <c r="D167" s="1">
        <f t="shared" si="30"/>
        <v>33</v>
      </c>
      <c r="E167" s="36" t="s">
        <v>24</v>
      </c>
      <c r="F167" s="34">
        <v>207811.1467227762</v>
      </c>
      <c r="G167" s="34">
        <v>0</v>
      </c>
      <c r="H167" s="34">
        <v>0</v>
      </c>
      <c r="I167" s="22">
        <v>0</v>
      </c>
      <c r="J167" s="34">
        <v>0</v>
      </c>
      <c r="K167" s="34">
        <v>0</v>
      </c>
      <c r="L167" s="34">
        <v>0</v>
      </c>
      <c r="M167" s="34">
        <v>0</v>
      </c>
      <c r="N167" s="34">
        <v>0</v>
      </c>
      <c r="O167" s="34">
        <v>0</v>
      </c>
      <c r="P167" s="34">
        <v>0</v>
      </c>
      <c r="Q167" s="34">
        <v>0</v>
      </c>
      <c r="R167" s="34">
        <v>0</v>
      </c>
      <c r="S167" s="34">
        <v>0</v>
      </c>
      <c r="T167" s="34">
        <v>207811.1467227762</v>
      </c>
      <c r="U167" s="34">
        <v>0</v>
      </c>
      <c r="V167" s="34">
        <v>0</v>
      </c>
      <c r="X167" s="6"/>
      <c r="Y167" s="6"/>
      <c r="Z167" s="6"/>
      <c r="AA167" s="6"/>
      <c r="AB167" s="6"/>
      <c r="AC167" s="36"/>
      <c r="AD167" s="6"/>
      <c r="AE167" s="6"/>
      <c r="AF167" s="6"/>
      <c r="AG167" s="6"/>
      <c r="AH167" s="6"/>
      <c r="AI167" s="6"/>
    </row>
    <row r="168" spans="1:35" ht="16.5" x14ac:dyDescent="0.3">
      <c r="A168" s="28">
        <f>SUM(G168:V168)-F168</f>
        <v>0</v>
      </c>
      <c r="B168" s="28"/>
      <c r="C168" s="29" t="s">
        <v>39</v>
      </c>
      <c r="D168" s="1">
        <f t="shared" si="30"/>
        <v>34</v>
      </c>
      <c r="E168" s="20" t="s">
        <v>90</v>
      </c>
      <c r="F168" s="30">
        <f>SUM(F158:F167)</f>
        <v>7886015.6792702228</v>
      </c>
      <c r="G168" s="30">
        <f>SUM(G158:G167)</f>
        <v>0</v>
      </c>
      <c r="H168" s="30">
        <f>SUM(H158:H167)</f>
        <v>0</v>
      </c>
      <c r="I168" s="30">
        <f>SUM(I158:I167)</f>
        <v>0</v>
      </c>
      <c r="J168" s="30">
        <f t="shared" ref="J168:V168" si="31">SUM(J158:J167)</f>
        <v>0</v>
      </c>
      <c r="K168" s="30">
        <f t="shared" si="31"/>
        <v>1291291.741229495</v>
      </c>
      <c r="L168" s="30">
        <f t="shared" si="31"/>
        <v>3114238.2580393716</v>
      </c>
      <c r="M168" s="30">
        <f t="shared" si="31"/>
        <v>892196.25917924452</v>
      </c>
      <c r="N168" s="30">
        <f t="shared" si="31"/>
        <v>275047.71239656233</v>
      </c>
      <c r="O168" s="30">
        <f t="shared" si="31"/>
        <v>486857.30809253</v>
      </c>
      <c r="P168" s="30">
        <f t="shared" si="31"/>
        <v>456329.31355676864</v>
      </c>
      <c r="Q168" s="30">
        <f t="shared" si="31"/>
        <v>528731.30131799949</v>
      </c>
      <c r="R168" s="30">
        <f t="shared" si="31"/>
        <v>116961.61222139769</v>
      </c>
      <c r="S168" s="30">
        <f t="shared" si="31"/>
        <v>516551.02651407826</v>
      </c>
      <c r="T168" s="30">
        <f t="shared" si="31"/>
        <v>207811.1467227762</v>
      </c>
      <c r="U168" s="30">
        <f t="shared" si="31"/>
        <v>0</v>
      </c>
      <c r="V168" s="30">
        <f t="shared" si="31"/>
        <v>0</v>
      </c>
      <c r="X168" s="6"/>
      <c r="Y168" s="6"/>
      <c r="Z168" s="6"/>
      <c r="AA168" s="6"/>
      <c r="AB168" s="6"/>
      <c r="AC168" s="20"/>
      <c r="AD168" s="6"/>
      <c r="AE168" s="6"/>
      <c r="AF168" s="6"/>
      <c r="AG168" s="6"/>
      <c r="AH168" s="6"/>
      <c r="AI168" s="6"/>
    </row>
    <row r="169" spans="1:35" ht="16.5" x14ac:dyDescent="0.3">
      <c r="A169" s="28">
        <f>SUM(G169:V169)-F169</f>
        <v>0</v>
      </c>
      <c r="B169" s="28"/>
      <c r="C169" s="29" t="s">
        <v>39</v>
      </c>
      <c r="D169" s="1">
        <f t="shared" si="30"/>
        <v>35</v>
      </c>
      <c r="E169" s="39" t="s">
        <v>91</v>
      </c>
      <c r="F169" s="30">
        <f t="shared" ref="F169:V169" si="32">SUM(F168,F156,F147)</f>
        <v>85508469.917381257</v>
      </c>
      <c r="G169" s="30">
        <f t="shared" si="32"/>
        <v>45084280.69540257</v>
      </c>
      <c r="H169" s="30">
        <f t="shared" si="32"/>
        <v>14306573.7938511</v>
      </c>
      <c r="I169" s="30">
        <f t="shared" si="32"/>
        <v>14956203.951402549</v>
      </c>
      <c r="J169" s="30">
        <f t="shared" si="32"/>
        <v>1980651.9349557627</v>
      </c>
      <c r="K169" s="30">
        <f t="shared" si="32"/>
        <v>1672645.1661220191</v>
      </c>
      <c r="L169" s="30">
        <f t="shared" si="32"/>
        <v>3114238.2580393716</v>
      </c>
      <c r="M169" s="30">
        <f t="shared" si="32"/>
        <v>892196.25917924452</v>
      </c>
      <c r="N169" s="30">
        <f t="shared" si="32"/>
        <v>275047.71239656233</v>
      </c>
      <c r="O169" s="30">
        <f t="shared" si="32"/>
        <v>486857.30809253</v>
      </c>
      <c r="P169" s="30">
        <f t="shared" si="32"/>
        <v>456329.31355676864</v>
      </c>
      <c r="Q169" s="30">
        <f t="shared" si="32"/>
        <v>528731.30131799949</v>
      </c>
      <c r="R169" s="30">
        <f t="shared" si="32"/>
        <v>116961.61222139769</v>
      </c>
      <c r="S169" s="30">
        <f t="shared" si="32"/>
        <v>516551.02651407826</v>
      </c>
      <c r="T169" s="30">
        <f t="shared" si="32"/>
        <v>207811.1467227762</v>
      </c>
      <c r="U169" s="30">
        <f t="shared" si="32"/>
        <v>0</v>
      </c>
      <c r="V169" s="30">
        <f t="shared" si="32"/>
        <v>913390.43760650989</v>
      </c>
      <c r="X169" s="6"/>
      <c r="Y169" s="6"/>
      <c r="Z169" s="6"/>
      <c r="AA169" s="6"/>
      <c r="AB169" s="6"/>
      <c r="AC169" s="39"/>
      <c r="AD169" s="6"/>
      <c r="AE169" s="6"/>
      <c r="AF169" s="6"/>
      <c r="AG169" s="6"/>
      <c r="AH169" s="6"/>
      <c r="AI169" s="6"/>
    </row>
    <row r="170" spans="1:35" ht="16.5" x14ac:dyDescent="0.3">
      <c r="A170" s="19"/>
      <c r="B170" s="26" t="str">
        <f>IF(OverheadAlloc="Expenses","E-GTDC","L-GTDC")</f>
        <v>E-GTDC</v>
      </c>
      <c r="C170" s="26" t="s">
        <v>535</v>
      </c>
      <c r="D170" s="1">
        <f t="shared" si="30"/>
        <v>36</v>
      </c>
      <c r="E170" s="6" t="s">
        <v>92</v>
      </c>
      <c r="F170" s="22">
        <v>11618932.125502631</v>
      </c>
      <c r="G170" s="22">
        <f t="shared" ref="G170:V170" si="33">$F170*VLOOKUP($B170,RatiosIslInt,G$561,FALSE)</f>
        <v>5450287.9900378725</v>
      </c>
      <c r="H170" s="22">
        <f t="shared" si="33"/>
        <v>1925616.4258488961</v>
      </c>
      <c r="I170" s="22">
        <f t="shared" si="33"/>
        <v>2369889.3042714787</v>
      </c>
      <c r="J170" s="22">
        <f t="shared" si="33"/>
        <v>329278.36967503082</v>
      </c>
      <c r="K170" s="22">
        <f t="shared" si="33"/>
        <v>221506.66757462858</v>
      </c>
      <c r="L170" s="22">
        <f t="shared" si="33"/>
        <v>417759.3770375743</v>
      </c>
      <c r="M170" s="22">
        <f t="shared" si="33"/>
        <v>113971.79384760394</v>
      </c>
      <c r="N170" s="22">
        <f t="shared" si="33"/>
        <v>34836.255839837497</v>
      </c>
      <c r="O170" s="22">
        <f t="shared" si="33"/>
        <v>61663.06781622205</v>
      </c>
      <c r="P170" s="22">
        <f t="shared" si="33"/>
        <v>60356.32802814521</v>
      </c>
      <c r="Q170" s="22">
        <f t="shared" si="33"/>
        <v>68494.473119085422</v>
      </c>
      <c r="R170" s="22">
        <f t="shared" si="33"/>
        <v>20114.477140927091</v>
      </c>
      <c r="S170" s="22">
        <f t="shared" si="33"/>
        <v>61615.4884556006</v>
      </c>
      <c r="T170" s="22">
        <f t="shared" si="33"/>
        <v>17163.150454738377</v>
      </c>
      <c r="U170" s="22">
        <f t="shared" si="33"/>
        <v>375104.71690050705</v>
      </c>
      <c r="V170" s="22">
        <f t="shared" si="33"/>
        <v>91274.239454483919</v>
      </c>
      <c r="X170" s="6"/>
      <c r="Y170" s="23" t="s">
        <v>39</v>
      </c>
      <c r="Z170" s="6"/>
      <c r="AA170" s="6"/>
      <c r="AB170" s="6"/>
      <c r="AC170" s="6"/>
      <c r="AD170" s="6"/>
      <c r="AE170" s="6"/>
      <c r="AF170" s="6"/>
      <c r="AG170" s="6"/>
      <c r="AH170" s="6"/>
      <c r="AI170" s="6"/>
    </row>
    <row r="171" spans="1:35" ht="16.5" x14ac:dyDescent="0.3">
      <c r="A171" s="28"/>
      <c r="B171" s="28"/>
      <c r="C171" s="26" t="s">
        <v>93</v>
      </c>
      <c r="D171" s="1">
        <f t="shared" si="30"/>
        <v>37</v>
      </c>
      <c r="E171" s="6" t="s">
        <v>94</v>
      </c>
      <c r="F171" s="22">
        <v>10962.52</v>
      </c>
      <c r="G171" s="22">
        <f t="shared" ref="G171:V171" si="34">$F171*(G$169/SUM($G$169:$V$169))</f>
        <v>5779.9809689788544</v>
      </c>
      <c r="H171" s="22">
        <f t="shared" si="34"/>
        <v>1834.1586687038655</v>
      </c>
      <c r="I171" s="22">
        <f t="shared" si="34"/>
        <v>1917.4437935767794</v>
      </c>
      <c r="J171" s="22">
        <f t="shared" si="34"/>
        <v>253.92731820567482</v>
      </c>
      <c r="K171" s="22">
        <f t="shared" si="34"/>
        <v>214.43964678858936</v>
      </c>
      <c r="L171" s="22">
        <f t="shared" si="34"/>
        <v>399.25751474102998</v>
      </c>
      <c r="M171" s="22">
        <f t="shared" si="34"/>
        <v>114.38304702011197</v>
      </c>
      <c r="N171" s="22">
        <f t="shared" si="34"/>
        <v>35.262191581896857</v>
      </c>
      <c r="O171" s="22">
        <f t="shared" si="34"/>
        <v>62.417009475989175</v>
      </c>
      <c r="P171" s="22">
        <f t="shared" si="34"/>
        <v>58.503201276853716</v>
      </c>
      <c r="Q171" s="22">
        <f t="shared" si="34"/>
        <v>67.785419045913713</v>
      </c>
      <c r="R171" s="22">
        <f t="shared" si="34"/>
        <v>14.994935758389541</v>
      </c>
      <c r="S171" s="22">
        <f t="shared" si="34"/>
        <v>66.223860217033987</v>
      </c>
      <c r="T171" s="22">
        <f t="shared" si="34"/>
        <v>26.642201110281981</v>
      </c>
      <c r="U171" s="22">
        <f t="shared" si="34"/>
        <v>0</v>
      </c>
      <c r="V171" s="22">
        <f t="shared" si="34"/>
        <v>117.10022351873199</v>
      </c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</row>
    <row r="172" spans="1:35" ht="16.5" x14ac:dyDescent="0.3">
      <c r="A172" s="28"/>
      <c r="B172" s="28"/>
      <c r="C172" s="26" t="s">
        <v>553</v>
      </c>
      <c r="D172" s="1">
        <f t="shared" si="30"/>
        <v>38</v>
      </c>
      <c r="E172" s="6" t="s">
        <v>95</v>
      </c>
      <c r="F172" s="22">
        <f>SUM(G172:V172)</f>
        <v>0</v>
      </c>
      <c r="G172" s="34">
        <v>0</v>
      </c>
      <c r="H172" s="34">
        <v>0</v>
      </c>
      <c r="I172" s="34">
        <v>0</v>
      </c>
      <c r="J172" s="34">
        <v>0</v>
      </c>
      <c r="K172" s="34">
        <v>0</v>
      </c>
      <c r="L172" s="34">
        <v>0</v>
      </c>
      <c r="M172" s="34">
        <v>0</v>
      </c>
      <c r="N172" s="34">
        <v>0</v>
      </c>
      <c r="O172" s="34">
        <v>0</v>
      </c>
      <c r="P172" s="34">
        <v>0</v>
      </c>
      <c r="Q172" s="34">
        <v>0</v>
      </c>
      <c r="R172" s="34">
        <v>0</v>
      </c>
      <c r="S172" s="34">
        <v>0</v>
      </c>
      <c r="T172" s="34">
        <v>0</v>
      </c>
      <c r="U172" s="22">
        <v>0</v>
      </c>
      <c r="V172" s="22">
        <v>0</v>
      </c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</row>
    <row r="173" spans="1:35" ht="16.5" x14ac:dyDescent="0.3">
      <c r="A173" s="28"/>
      <c r="B173" s="28"/>
      <c r="C173" s="26" t="s">
        <v>554</v>
      </c>
      <c r="D173" s="1">
        <f t="shared" si="30"/>
        <v>39</v>
      </c>
      <c r="E173" s="6" t="s">
        <v>97</v>
      </c>
      <c r="F173" s="22">
        <f>SUM(G173:V173)</f>
        <v>0</v>
      </c>
      <c r="G173" s="22">
        <v>0</v>
      </c>
      <c r="H173" s="22">
        <v>0</v>
      </c>
      <c r="I173" s="22">
        <v>0</v>
      </c>
      <c r="J173" s="23">
        <v>0</v>
      </c>
      <c r="K173" s="23">
        <v>0</v>
      </c>
      <c r="L173" s="23">
        <v>0</v>
      </c>
      <c r="M173" s="23">
        <v>0</v>
      </c>
      <c r="N173" s="23">
        <v>0</v>
      </c>
      <c r="O173" s="23">
        <v>0</v>
      </c>
      <c r="P173" s="23">
        <v>0</v>
      </c>
      <c r="Q173" s="23">
        <v>0</v>
      </c>
      <c r="R173" s="23">
        <v>0</v>
      </c>
      <c r="S173" s="23">
        <v>0</v>
      </c>
      <c r="T173" s="23">
        <v>0</v>
      </c>
      <c r="U173" s="23">
        <v>0</v>
      </c>
      <c r="V173" s="23">
        <v>0</v>
      </c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</row>
    <row r="174" spans="1:35" ht="16.5" x14ac:dyDescent="0.3">
      <c r="A174" s="28"/>
      <c r="B174" s="28"/>
      <c r="C174" s="26"/>
      <c r="D174" s="1">
        <v>40</v>
      </c>
      <c r="E174" s="6" t="s">
        <v>114</v>
      </c>
      <c r="F174" s="22">
        <v>383174.48364955717</v>
      </c>
      <c r="G174" s="22">
        <f t="shared" ref="G174:V175" si="35">$F174*(G$169/SUM($G$169:$V$169))</f>
        <v>202028.47732936766</v>
      </c>
      <c r="H174" s="22">
        <f t="shared" si="35"/>
        <v>64109.602610710201</v>
      </c>
      <c r="I174" s="22">
        <f t="shared" si="35"/>
        <v>67020.679144104681</v>
      </c>
      <c r="J174" s="22">
        <f t="shared" si="35"/>
        <v>8875.5568097459563</v>
      </c>
      <c r="K174" s="22">
        <f t="shared" si="35"/>
        <v>7495.3387480443498</v>
      </c>
      <c r="L174" s="22">
        <f t="shared" si="35"/>
        <v>13955.30334759705</v>
      </c>
      <c r="M174" s="22">
        <f t="shared" si="35"/>
        <v>3998.0465239921496</v>
      </c>
      <c r="N174" s="22">
        <f t="shared" si="35"/>
        <v>1232.5242783361025</v>
      </c>
      <c r="O174" s="22">
        <f t="shared" si="35"/>
        <v>2181.670398495206</v>
      </c>
      <c r="P174" s="22">
        <f t="shared" si="35"/>
        <v>2044.8705170986721</v>
      </c>
      <c r="Q174" s="22">
        <f t="shared" si="35"/>
        <v>2369.3131635688546</v>
      </c>
      <c r="R174" s="22">
        <f t="shared" si="35"/>
        <v>524.12007153274908</v>
      </c>
      <c r="S174" s="22">
        <f t="shared" si="35"/>
        <v>2314.7317810086047</v>
      </c>
      <c r="T174" s="22">
        <f t="shared" si="35"/>
        <v>931.2285545403754</v>
      </c>
      <c r="U174" s="22">
        <f t="shared" si="35"/>
        <v>0</v>
      </c>
      <c r="V174" s="22">
        <f t="shared" si="35"/>
        <v>4093.0203714144063</v>
      </c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</row>
    <row r="175" spans="1:35" ht="16.5" x14ac:dyDescent="0.3">
      <c r="A175" s="28"/>
      <c r="B175" s="28"/>
      <c r="C175" s="26" t="s">
        <v>536</v>
      </c>
      <c r="D175" s="1">
        <v>41</v>
      </c>
      <c r="E175" s="6" t="s">
        <v>101</v>
      </c>
      <c r="F175" s="22">
        <v>2990595.5781233213</v>
      </c>
      <c r="G175" s="22">
        <f t="shared" si="35"/>
        <v>1576789.417712817</v>
      </c>
      <c r="H175" s="22">
        <f t="shared" si="35"/>
        <v>500361.851490564</v>
      </c>
      <c r="I175" s="22">
        <f t="shared" si="35"/>
        <v>523082.18642891623</v>
      </c>
      <c r="J175" s="22">
        <f t="shared" si="35"/>
        <v>69271.838499779667</v>
      </c>
      <c r="K175" s="22">
        <f t="shared" si="35"/>
        <v>58499.52925607271</v>
      </c>
      <c r="L175" s="22">
        <f t="shared" si="35"/>
        <v>108918.18287373989</v>
      </c>
      <c r="M175" s="22">
        <f t="shared" si="35"/>
        <v>31203.905181529317</v>
      </c>
      <c r="N175" s="22">
        <f t="shared" si="35"/>
        <v>9619.5905886382097</v>
      </c>
      <c r="O175" s="22">
        <f t="shared" si="35"/>
        <v>17027.474753849907</v>
      </c>
      <c r="P175" s="22">
        <f t="shared" si="35"/>
        <v>15959.780693181619</v>
      </c>
      <c r="Q175" s="22">
        <f t="shared" si="35"/>
        <v>18491.986738445714</v>
      </c>
      <c r="R175" s="22">
        <f t="shared" si="35"/>
        <v>4090.6459986648169</v>
      </c>
      <c r="S175" s="22">
        <f t="shared" si="35"/>
        <v>18065.990623626574</v>
      </c>
      <c r="T175" s="22">
        <f t="shared" si="35"/>
        <v>7268.0413656605897</v>
      </c>
      <c r="U175" s="22">
        <f t="shared" si="35"/>
        <v>0</v>
      </c>
      <c r="V175" s="22">
        <f t="shared" si="35"/>
        <v>31945.155917833894</v>
      </c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</row>
    <row r="176" spans="1:35" ht="17.25" thickBot="1" x14ac:dyDescent="0.35">
      <c r="A176" s="54">
        <f>SUM(G176:V176)-F176</f>
        <v>0</v>
      </c>
      <c r="B176" s="54"/>
      <c r="C176" s="29"/>
      <c r="D176" s="1">
        <v>42</v>
      </c>
      <c r="E176" s="20" t="s">
        <v>115</v>
      </c>
      <c r="F176" s="55">
        <f t="shared" ref="F176:V176" si="36">SUM(F169:F175)</f>
        <v>100512134.62465675</v>
      </c>
      <c r="G176" s="55">
        <f>SUM(G169:G175)</f>
        <v>52319166.561451606</v>
      </c>
      <c r="H176" s="55">
        <f t="shared" si="36"/>
        <v>16798495.832469974</v>
      </c>
      <c r="I176" s="55">
        <f t="shared" si="36"/>
        <v>17918113.565040622</v>
      </c>
      <c r="J176" s="55">
        <f t="shared" si="36"/>
        <v>2388331.6272585248</v>
      </c>
      <c r="K176" s="55">
        <f t="shared" si="36"/>
        <v>1960361.1413475531</v>
      </c>
      <c r="L176" s="55">
        <f t="shared" si="36"/>
        <v>3655270.3788130232</v>
      </c>
      <c r="M176" s="55">
        <f t="shared" si="36"/>
        <v>1041484.3877793901</v>
      </c>
      <c r="N176" s="55">
        <f t="shared" si="36"/>
        <v>320771.345294956</v>
      </c>
      <c r="O176" s="55">
        <f t="shared" si="36"/>
        <v>567791.93807057315</v>
      </c>
      <c r="P176" s="55">
        <f t="shared" si="36"/>
        <v>534748.79599647108</v>
      </c>
      <c r="Q176" s="55">
        <f t="shared" si="36"/>
        <v>618154.85975814541</v>
      </c>
      <c r="R176" s="55">
        <f t="shared" si="36"/>
        <v>141705.85036828075</v>
      </c>
      <c r="S176" s="55">
        <f t="shared" si="36"/>
        <v>598613.46123453113</v>
      </c>
      <c r="T176" s="55">
        <f t="shared" si="36"/>
        <v>233200.20929882582</v>
      </c>
      <c r="U176" s="55">
        <f t="shared" si="36"/>
        <v>375104.71690050705</v>
      </c>
      <c r="V176" s="55">
        <f t="shared" si="36"/>
        <v>1040819.9535737608</v>
      </c>
      <c r="X176" s="6"/>
      <c r="Y176" s="6"/>
      <c r="Z176" s="6"/>
      <c r="AA176" s="6"/>
      <c r="AB176" s="6"/>
      <c r="AC176" s="20"/>
      <c r="AD176" s="6"/>
      <c r="AE176" s="6"/>
      <c r="AF176" s="6"/>
      <c r="AG176" s="6"/>
      <c r="AH176" s="6"/>
      <c r="AI176" s="6"/>
    </row>
    <row r="177" spans="1:35" ht="17.25" thickTop="1" x14ac:dyDescent="0.3">
      <c r="A177" s="28"/>
      <c r="B177" s="28"/>
      <c r="C177" s="26"/>
      <c r="D177" s="1"/>
      <c r="E177" s="6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</row>
    <row r="178" spans="1:35" ht="16.5" x14ac:dyDescent="0.3">
      <c r="A178" s="28"/>
      <c r="B178" s="28"/>
      <c r="C178" s="26"/>
      <c r="D178" s="1"/>
      <c r="E178" s="6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</row>
    <row r="179" spans="1:35" ht="16.5" x14ac:dyDescent="0.3">
      <c r="A179" s="28"/>
      <c r="B179" s="28"/>
      <c r="C179" s="26"/>
      <c r="D179" s="1"/>
      <c r="E179" s="6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</row>
    <row r="180" spans="1:35" ht="16.5" x14ac:dyDescent="0.3">
      <c r="A180" s="28"/>
      <c r="B180" s="28"/>
      <c r="C180" s="26"/>
      <c r="D180" s="1"/>
      <c r="E180" s="6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X180" s="6"/>
      <c r="Y180" s="6"/>
      <c r="Z180" s="20"/>
      <c r="AA180" s="20"/>
      <c r="AB180" s="20"/>
      <c r="AC180" s="6"/>
      <c r="AD180" s="20"/>
      <c r="AE180" s="20"/>
      <c r="AF180" s="20"/>
      <c r="AG180" s="20"/>
      <c r="AH180" s="20"/>
      <c r="AI180" s="20"/>
    </row>
    <row r="181" spans="1:35" ht="16.5" x14ac:dyDescent="0.3">
      <c r="A181" s="28"/>
      <c r="B181" s="28"/>
      <c r="C181" s="26"/>
      <c r="D181" s="1"/>
      <c r="E181" s="6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42" t="s">
        <v>116</v>
      </c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7"/>
      <c r="AI181" s="42" t="s">
        <v>116</v>
      </c>
    </row>
    <row r="182" spans="1:35" ht="16.5" x14ac:dyDescent="0.3">
      <c r="A182" s="28"/>
      <c r="B182" s="28"/>
      <c r="C182" s="26"/>
      <c r="D182" s="1"/>
      <c r="E182" s="6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42" t="s">
        <v>3</v>
      </c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7"/>
      <c r="AI182" s="7" t="s">
        <v>4</v>
      </c>
    </row>
    <row r="183" spans="1:35" ht="16.5" x14ac:dyDescent="0.3">
      <c r="A183" s="28"/>
      <c r="B183" s="28"/>
      <c r="C183" s="26"/>
      <c r="D183" s="1"/>
      <c r="E183" s="6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X183" s="6"/>
      <c r="Y183" s="6"/>
    </row>
    <row r="184" spans="1:35" ht="16.5" x14ac:dyDescent="0.3">
      <c r="A184" s="43"/>
      <c r="B184" s="43"/>
      <c r="C184" s="44"/>
      <c r="D184" s="8" t="str">
        <f>D5</f>
        <v>NEWFOUNDLAND AND LABRADOR HYDRO</v>
      </c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10"/>
      <c r="X184" s="6"/>
      <c r="Y184" s="6"/>
      <c r="AA184" s="9" t="s">
        <v>6</v>
      </c>
      <c r="AB184" s="9"/>
      <c r="AC184" s="11"/>
      <c r="AD184" s="9"/>
      <c r="AE184" s="9"/>
      <c r="AF184" s="9"/>
      <c r="AG184" s="9"/>
      <c r="AH184" s="11"/>
      <c r="AI184" s="11"/>
    </row>
    <row r="185" spans="1:35" ht="16.5" x14ac:dyDescent="0.3">
      <c r="A185" s="43"/>
      <c r="B185" s="43"/>
      <c r="C185" s="44"/>
      <c r="D185" s="8" t="str">
        <f>D6</f>
        <v>2027 Test Year Cost of Service Study</v>
      </c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10"/>
      <c r="X185" s="6"/>
      <c r="Y185" s="6"/>
      <c r="AA185" s="9" t="str">
        <f>RunName</f>
        <v>2027 Test Year Cost of Service Study</v>
      </c>
      <c r="AB185" s="9"/>
      <c r="AC185" s="10"/>
      <c r="AD185" s="9"/>
      <c r="AE185" s="9"/>
      <c r="AF185" s="9"/>
      <c r="AG185" s="9"/>
      <c r="AH185" s="11"/>
      <c r="AI185" s="11"/>
    </row>
    <row r="186" spans="1:35" ht="16.5" x14ac:dyDescent="0.3">
      <c r="A186" s="43"/>
      <c r="B186" s="43"/>
      <c r="C186" s="44"/>
      <c r="D186" s="8" t="str">
        <f>$B$1</f>
        <v>Island Interconnected</v>
      </c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10"/>
      <c r="X186" s="6"/>
      <c r="Y186" s="6"/>
      <c r="AA186" s="9" t="str">
        <f>$B$1</f>
        <v>Island Interconnected</v>
      </c>
      <c r="AB186" s="9"/>
      <c r="AC186" s="10"/>
      <c r="AD186" s="9"/>
      <c r="AE186" s="9"/>
      <c r="AF186" s="9"/>
      <c r="AG186" s="9"/>
      <c r="AH186" s="11"/>
      <c r="AI186" s="11"/>
    </row>
    <row r="187" spans="1:35" ht="16.5" x14ac:dyDescent="0.3">
      <c r="A187" s="43"/>
      <c r="B187" s="43"/>
      <c r="C187" s="44"/>
      <c r="D187" s="8" t="s">
        <v>117</v>
      </c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10"/>
      <c r="X187" s="6"/>
      <c r="Y187" s="6"/>
      <c r="Z187" s="6"/>
      <c r="AA187" s="9" t="str">
        <f>+D187&amp;" (CONT'D.)"</f>
        <v>Functional Classification of Rate Base (CONT'D.)</v>
      </c>
      <c r="AB187" s="9"/>
      <c r="AC187" s="10"/>
      <c r="AD187" s="9"/>
      <c r="AE187" s="9"/>
      <c r="AF187" s="9"/>
      <c r="AG187" s="9"/>
      <c r="AH187" s="11"/>
      <c r="AI187" s="11"/>
    </row>
    <row r="188" spans="1:35" ht="16.5" x14ac:dyDescent="0.3">
      <c r="A188" s="28"/>
      <c r="B188" s="28"/>
      <c r="C188" s="26"/>
      <c r="D188" s="1"/>
      <c r="E188" s="6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X188" s="6"/>
      <c r="Y188" s="6"/>
      <c r="Z188" s="6"/>
      <c r="AA188" s="6"/>
      <c r="AB188" s="6"/>
      <c r="AC188" s="1"/>
      <c r="AD188" s="6"/>
      <c r="AE188" s="6"/>
      <c r="AF188" s="6"/>
      <c r="AG188" s="6"/>
      <c r="AH188" s="6"/>
      <c r="AI188" s="6"/>
    </row>
    <row r="189" spans="1:35" ht="16.5" x14ac:dyDescent="0.3">
      <c r="A189" s="45"/>
      <c r="B189" s="45"/>
      <c r="C189" s="45"/>
      <c r="D189" s="1"/>
      <c r="E189" s="1">
        <f t="shared" ref="E189:V189" si="37">MAX(D189)+NoOne</f>
        <v>1</v>
      </c>
      <c r="F189" s="1">
        <f t="shared" si="37"/>
        <v>2</v>
      </c>
      <c r="G189" s="1">
        <f t="shared" si="37"/>
        <v>3</v>
      </c>
      <c r="H189" s="1">
        <f t="shared" si="37"/>
        <v>4</v>
      </c>
      <c r="I189" s="1">
        <f t="shared" si="37"/>
        <v>5</v>
      </c>
      <c r="J189" s="1">
        <f t="shared" si="37"/>
        <v>6</v>
      </c>
      <c r="K189" s="1">
        <f t="shared" si="37"/>
        <v>7</v>
      </c>
      <c r="L189" s="1">
        <f t="shared" si="37"/>
        <v>8</v>
      </c>
      <c r="M189" s="1">
        <f t="shared" si="37"/>
        <v>9</v>
      </c>
      <c r="N189" s="1">
        <f t="shared" si="37"/>
        <v>10</v>
      </c>
      <c r="O189" s="1">
        <f t="shared" si="37"/>
        <v>11</v>
      </c>
      <c r="P189" s="1">
        <f t="shared" si="37"/>
        <v>12</v>
      </c>
      <c r="Q189" s="1">
        <f t="shared" si="37"/>
        <v>13</v>
      </c>
      <c r="R189" s="1">
        <f t="shared" si="37"/>
        <v>14</v>
      </c>
      <c r="S189" s="1">
        <f t="shared" si="37"/>
        <v>15</v>
      </c>
      <c r="T189" s="1">
        <f t="shared" si="37"/>
        <v>16</v>
      </c>
      <c r="U189" s="1">
        <f t="shared" si="37"/>
        <v>17</v>
      </c>
      <c r="V189" s="1">
        <f t="shared" si="37"/>
        <v>18</v>
      </c>
      <c r="X189" s="6"/>
      <c r="Y189" s="6"/>
      <c r="Z189" s="13"/>
      <c r="AA189" s="13"/>
      <c r="AB189" s="13"/>
      <c r="AC189" s="1">
        <v>1</v>
      </c>
      <c r="AD189" s="13"/>
      <c r="AE189" s="1">
        <v>19</v>
      </c>
      <c r="AF189" s="13"/>
      <c r="AG189" s="13"/>
      <c r="AH189" s="13"/>
      <c r="AI189" s="13"/>
    </row>
    <row r="190" spans="1:35" ht="16.5" x14ac:dyDescent="0.3">
      <c r="A190" s="45"/>
      <c r="B190" s="45"/>
      <c r="C190" s="46"/>
      <c r="D190" s="1"/>
      <c r="E190" s="13"/>
      <c r="F190" s="25"/>
      <c r="G190" s="13"/>
      <c r="H190" s="13"/>
      <c r="I190" s="13"/>
      <c r="J190" s="13" t="s">
        <v>8</v>
      </c>
      <c r="K190" s="47" t="s">
        <v>9</v>
      </c>
      <c r="L190" s="47"/>
      <c r="M190" s="47"/>
      <c r="N190" s="47"/>
      <c r="O190" s="47"/>
      <c r="P190" s="47"/>
      <c r="Q190" s="47"/>
      <c r="R190" s="47"/>
      <c r="S190" s="47"/>
      <c r="T190" s="47"/>
      <c r="U190" s="23"/>
      <c r="V190" s="25" t="s">
        <v>10</v>
      </c>
      <c r="X190" s="6"/>
      <c r="Y190" s="6"/>
      <c r="Z190" s="16"/>
      <c r="AA190" s="13"/>
      <c r="AB190" s="13"/>
      <c r="AC190" s="13"/>
      <c r="AD190" s="13"/>
      <c r="AE190" s="13"/>
      <c r="AF190" s="13"/>
      <c r="AG190" s="13"/>
      <c r="AH190" s="13"/>
      <c r="AI190" s="13"/>
    </row>
    <row r="191" spans="1:35" ht="16.5" x14ac:dyDescent="0.3">
      <c r="A191" s="45"/>
      <c r="B191" s="45"/>
      <c r="C191" s="46"/>
      <c r="D191" s="1" t="s">
        <v>14</v>
      </c>
      <c r="E191" s="13"/>
      <c r="F191" s="25" t="s">
        <v>15</v>
      </c>
      <c r="G191" s="13" t="s">
        <v>16</v>
      </c>
      <c r="H191" s="13" t="s">
        <v>16</v>
      </c>
      <c r="I191" s="13" t="s">
        <v>17</v>
      </c>
      <c r="J191" s="25" t="s">
        <v>17</v>
      </c>
      <c r="K191" s="25" t="s">
        <v>18</v>
      </c>
      <c r="L191" s="47" t="s">
        <v>19</v>
      </c>
      <c r="M191" s="47"/>
      <c r="N191" s="47" t="s">
        <v>20</v>
      </c>
      <c r="O191" s="47"/>
      <c r="P191" s="47" t="s">
        <v>21</v>
      </c>
      <c r="Q191" s="47"/>
      <c r="R191" s="48" t="s">
        <v>22</v>
      </c>
      <c r="S191" s="48" t="s">
        <v>23</v>
      </c>
      <c r="T191" s="49" t="s">
        <v>24</v>
      </c>
      <c r="U191" s="48" t="s">
        <v>25</v>
      </c>
      <c r="V191" s="25" t="s">
        <v>26</v>
      </c>
      <c r="X191" s="6"/>
      <c r="Y191" s="6"/>
      <c r="Z191" s="16"/>
      <c r="AA191" s="13"/>
      <c r="AB191" s="13"/>
      <c r="AC191" s="13" t="s">
        <v>31</v>
      </c>
      <c r="AD191" s="13"/>
      <c r="AE191" s="17" t="s">
        <v>36</v>
      </c>
      <c r="AF191" s="13"/>
      <c r="AG191" s="13"/>
      <c r="AH191" s="13"/>
      <c r="AI191" s="13"/>
    </row>
    <row r="192" spans="1:35" ht="16.5" x14ac:dyDescent="0.3">
      <c r="A192" s="45"/>
      <c r="B192" s="45"/>
      <c r="C192" s="46"/>
      <c r="D192" s="1" t="s">
        <v>30</v>
      </c>
      <c r="E192" s="13" t="s">
        <v>31</v>
      </c>
      <c r="F192" s="25" t="s">
        <v>32</v>
      </c>
      <c r="G192" s="25" t="s">
        <v>33</v>
      </c>
      <c r="H192" s="25" t="s">
        <v>34</v>
      </c>
      <c r="I192" s="13" t="s">
        <v>33</v>
      </c>
      <c r="J192" s="25" t="s">
        <v>33</v>
      </c>
      <c r="K192" s="25" t="s">
        <v>33</v>
      </c>
      <c r="L192" s="25" t="s">
        <v>33</v>
      </c>
      <c r="M192" s="25" t="s">
        <v>35</v>
      </c>
      <c r="N192" s="25" t="s">
        <v>33</v>
      </c>
      <c r="O192" s="25" t="s">
        <v>35</v>
      </c>
      <c r="P192" s="25" t="s">
        <v>33</v>
      </c>
      <c r="Q192" s="25" t="s">
        <v>35</v>
      </c>
      <c r="R192" s="25" t="s">
        <v>35</v>
      </c>
      <c r="S192" s="25" t="s">
        <v>35</v>
      </c>
      <c r="T192" s="25" t="s">
        <v>35</v>
      </c>
      <c r="U192" s="25" t="s">
        <v>35</v>
      </c>
      <c r="V192" s="25" t="s">
        <v>35</v>
      </c>
      <c r="X192" s="6"/>
      <c r="Y192" s="6"/>
      <c r="Z192" s="16"/>
      <c r="AA192" s="6"/>
      <c r="AB192" s="6"/>
      <c r="AC192" s="13"/>
      <c r="AD192" s="6"/>
      <c r="AE192" s="6"/>
      <c r="AF192" s="6"/>
      <c r="AG192" s="6"/>
      <c r="AH192" s="6"/>
      <c r="AI192" s="6"/>
    </row>
    <row r="193" spans="1:35" ht="16.5" x14ac:dyDescent="0.3">
      <c r="A193" s="45"/>
      <c r="B193" s="45"/>
      <c r="C193" s="46"/>
      <c r="D193" s="1"/>
      <c r="E193" s="13"/>
      <c r="F193" s="25" t="s">
        <v>37</v>
      </c>
      <c r="G193" s="25" t="s">
        <v>37</v>
      </c>
      <c r="H193" s="25" t="s">
        <v>37</v>
      </c>
      <c r="I193" s="13" t="s">
        <v>37</v>
      </c>
      <c r="J193" s="25" t="s">
        <v>37</v>
      </c>
      <c r="K193" s="25" t="s">
        <v>37</v>
      </c>
      <c r="L193" s="25" t="s">
        <v>37</v>
      </c>
      <c r="M193" s="25" t="s">
        <v>37</v>
      </c>
      <c r="N193" s="25" t="s">
        <v>37</v>
      </c>
      <c r="O193" s="25" t="s">
        <v>37</v>
      </c>
      <c r="P193" s="25" t="s">
        <v>37</v>
      </c>
      <c r="Q193" s="25" t="s">
        <v>37</v>
      </c>
      <c r="R193" s="25" t="s">
        <v>37</v>
      </c>
      <c r="S193" s="25" t="s">
        <v>37</v>
      </c>
      <c r="T193" s="25" t="s">
        <v>37</v>
      </c>
      <c r="U193" s="25" t="s">
        <v>37</v>
      </c>
      <c r="V193" s="25" t="s">
        <v>37</v>
      </c>
      <c r="X193" s="6"/>
      <c r="Y193" s="6"/>
      <c r="Z193" s="16"/>
      <c r="AA193" s="6"/>
      <c r="AB193" s="6"/>
      <c r="AC193" s="13" t="str">
        <f t="shared" ref="AC193:AC221" si="38">IF(ISBLANK(E193),"",E193)</f>
        <v/>
      </c>
      <c r="AD193" s="6"/>
      <c r="AE193" s="6"/>
      <c r="AF193" s="6"/>
      <c r="AG193" s="6"/>
      <c r="AH193" s="6"/>
      <c r="AI193" s="6"/>
    </row>
    <row r="194" spans="1:35" ht="16.5" x14ac:dyDescent="0.3">
      <c r="A194" s="28"/>
      <c r="B194" s="28"/>
      <c r="C194" s="26"/>
      <c r="D194" s="1"/>
      <c r="E194" s="6" t="s">
        <v>39</v>
      </c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X194" s="6"/>
      <c r="Y194" s="6"/>
      <c r="Z194" s="6"/>
      <c r="AA194" s="6"/>
      <c r="AB194" s="6"/>
      <c r="AC194" s="6" t="str">
        <f t="shared" si="38"/>
        <v xml:space="preserve"> </v>
      </c>
      <c r="AD194" s="6"/>
      <c r="AE194" s="6"/>
      <c r="AF194" s="6"/>
      <c r="AG194" s="6"/>
      <c r="AH194" s="6"/>
      <c r="AI194" s="6"/>
    </row>
    <row r="195" spans="1:35" ht="16.5" x14ac:dyDescent="0.3">
      <c r="A195" s="28"/>
      <c r="B195" s="28"/>
      <c r="C195" s="19"/>
      <c r="D195" s="1">
        <v>1</v>
      </c>
      <c r="E195" s="6" t="s">
        <v>118</v>
      </c>
      <c r="F195" s="23">
        <f>SUM(G195:V195)</f>
        <v>2102740029.6428947</v>
      </c>
      <c r="G195" s="34">
        <f t="shared" ref="G195:V195" si="39">G116</f>
        <v>758094523.60939014</v>
      </c>
      <c r="H195" s="34">
        <f t="shared" si="39"/>
        <v>476193156.3922801</v>
      </c>
      <c r="I195" s="34">
        <f t="shared" si="39"/>
        <v>599698339.15013182</v>
      </c>
      <c r="J195" s="34">
        <f t="shared" si="39"/>
        <v>54644492.255983904</v>
      </c>
      <c r="K195" s="34">
        <f t="shared" si="39"/>
        <v>65092491.7251537</v>
      </c>
      <c r="L195" s="34">
        <f t="shared" si="39"/>
        <v>57156656.032113455</v>
      </c>
      <c r="M195" s="34">
        <f t="shared" si="39"/>
        <v>15716305.651248157</v>
      </c>
      <c r="N195" s="34">
        <f t="shared" si="39"/>
        <v>5583684.1831743438</v>
      </c>
      <c r="O195" s="34">
        <f t="shared" si="39"/>
        <v>9883585.0222947523</v>
      </c>
      <c r="P195" s="34">
        <f t="shared" si="39"/>
        <v>7917691.3495333279</v>
      </c>
      <c r="Q195" s="34">
        <f t="shared" si="39"/>
        <v>9050377.5382101908</v>
      </c>
      <c r="R195" s="34">
        <f t="shared" si="39"/>
        <v>1967526.7689431286</v>
      </c>
      <c r="S195" s="34">
        <f t="shared" si="39"/>
        <v>7527362.2459018575</v>
      </c>
      <c r="T195" s="34">
        <f t="shared" si="39"/>
        <v>2350428.8690874116</v>
      </c>
      <c r="U195" s="34">
        <f t="shared" si="39"/>
        <v>3543748.5312603628</v>
      </c>
      <c r="V195" s="34">
        <f t="shared" si="39"/>
        <v>28319660.318188228</v>
      </c>
      <c r="X195" s="23"/>
      <c r="Y195" s="6"/>
      <c r="Z195" s="25"/>
      <c r="AA195" s="6"/>
      <c r="AB195" s="6"/>
      <c r="AC195" s="6" t="str">
        <f t="shared" si="38"/>
        <v>Average Net Book Value</v>
      </c>
      <c r="AD195" s="6"/>
      <c r="AE195" s="6" t="str">
        <f>+"Sch F  2.3 , L. "&amp;D116</f>
        <v>Sch F  2.3 , L. 42</v>
      </c>
      <c r="AF195" s="6"/>
      <c r="AG195" s="6"/>
      <c r="AH195" s="6"/>
      <c r="AI195" s="6"/>
    </row>
    <row r="196" spans="1:35" ht="16.5" x14ac:dyDescent="0.3">
      <c r="A196" s="28"/>
      <c r="B196" s="28"/>
      <c r="C196" s="19"/>
      <c r="D196" s="1"/>
      <c r="E196" s="6"/>
      <c r="F196" s="23" t="s">
        <v>39</v>
      </c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X196" s="6"/>
      <c r="Y196" s="6"/>
      <c r="Z196" s="6"/>
      <c r="AA196" s="6"/>
      <c r="AB196" s="6"/>
      <c r="AC196" s="6" t="str">
        <f t="shared" si="38"/>
        <v/>
      </c>
      <c r="AD196" s="6"/>
      <c r="AE196" s="6"/>
      <c r="AF196" s="6"/>
      <c r="AG196" s="6"/>
      <c r="AH196" s="6"/>
      <c r="AI196" s="6"/>
    </row>
    <row r="197" spans="1:35" ht="33" x14ac:dyDescent="0.3">
      <c r="A197" s="28">
        <f>F197-SUM(G197:V197)</f>
        <v>0</v>
      </c>
      <c r="B197" s="28"/>
      <c r="C197" s="19"/>
      <c r="D197" s="1">
        <v>2</v>
      </c>
      <c r="E197" s="56" t="s">
        <v>119</v>
      </c>
      <c r="F197" s="23">
        <v>116490187.49277692</v>
      </c>
      <c r="G197" s="34">
        <f t="shared" ref="G197:V197" si="40">IF(SUM($G$195:$V$195)&lt;&gt;0,$F197*(G$195/SUM($G$195:$V$195)),0)</f>
        <v>41997856.105637044</v>
      </c>
      <c r="H197" s="34">
        <f t="shared" si="40"/>
        <v>26380736.22459865</v>
      </c>
      <c r="I197" s="34">
        <f t="shared" si="40"/>
        <v>33222828.776684213</v>
      </c>
      <c r="J197" s="34">
        <f t="shared" si="40"/>
        <v>3027263.0275784559</v>
      </c>
      <c r="K197" s="34">
        <f t="shared" si="40"/>
        <v>3606074.1977328183</v>
      </c>
      <c r="L197" s="34">
        <f t="shared" si="40"/>
        <v>3166434.9771149815</v>
      </c>
      <c r="M197" s="34">
        <f t="shared" si="40"/>
        <v>870671.29849551991</v>
      </c>
      <c r="N197" s="34">
        <f t="shared" si="40"/>
        <v>309331.8281047307</v>
      </c>
      <c r="O197" s="34">
        <f t="shared" si="40"/>
        <v>547543.0419914762</v>
      </c>
      <c r="P197" s="34">
        <f t="shared" si="40"/>
        <v>438634.03788137983</v>
      </c>
      <c r="Q197" s="34">
        <f t="shared" si="40"/>
        <v>501383.98539241619</v>
      </c>
      <c r="R197" s="34">
        <f t="shared" si="40"/>
        <v>108999.4763880378</v>
      </c>
      <c r="S197" s="34">
        <f t="shared" si="40"/>
        <v>417010.104430301</v>
      </c>
      <c r="T197" s="34">
        <f t="shared" si="40"/>
        <v>130211.95953307055</v>
      </c>
      <c r="U197" s="34">
        <f t="shared" si="40"/>
        <v>196320.95504639237</v>
      </c>
      <c r="V197" s="34">
        <f t="shared" si="40"/>
        <v>1568887.4961674453</v>
      </c>
      <c r="X197" s="23"/>
      <c r="Y197" s="6"/>
      <c r="Z197" s="25"/>
      <c r="AA197" s="6"/>
      <c r="AB197" s="6"/>
      <c r="AC197" s="6" t="str">
        <f t="shared" si="38"/>
        <v>Cash Working Capital (Including Muskrat Falls)</v>
      </c>
      <c r="AD197" s="6"/>
      <c r="AE197" s="6" t="s">
        <v>120</v>
      </c>
      <c r="AF197" s="6"/>
      <c r="AG197" s="6"/>
      <c r="AH197" s="6"/>
      <c r="AI197" s="6"/>
    </row>
    <row r="198" spans="1:35" ht="16.5" x14ac:dyDescent="0.3">
      <c r="A198" s="28"/>
      <c r="B198" s="28"/>
      <c r="C198" s="19"/>
      <c r="D198" s="1"/>
      <c r="E198" s="6"/>
      <c r="F198" s="23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X198" s="6"/>
      <c r="Y198" s="6"/>
      <c r="Z198" s="25"/>
      <c r="AA198" s="6"/>
      <c r="AB198" s="6"/>
      <c r="AC198" s="6"/>
      <c r="AD198" s="6"/>
      <c r="AE198" s="6"/>
      <c r="AF198" s="6"/>
      <c r="AG198" s="6"/>
      <c r="AH198" s="6"/>
      <c r="AI198" s="6"/>
    </row>
    <row r="199" spans="1:35" ht="16.5" x14ac:dyDescent="0.3">
      <c r="A199" s="28"/>
      <c r="B199" s="28"/>
      <c r="C199" s="19"/>
      <c r="D199" s="1">
        <v>3</v>
      </c>
      <c r="E199" s="27" t="s">
        <v>121</v>
      </c>
      <c r="F199" s="23">
        <v>53963965.142307699</v>
      </c>
      <c r="G199" s="23">
        <f t="shared" ref="G199:V201" si="41">$F199*(G287/$F287)</f>
        <v>0</v>
      </c>
      <c r="H199" s="23">
        <f t="shared" si="41"/>
        <v>53963965.142307699</v>
      </c>
      <c r="I199" s="23">
        <f t="shared" si="41"/>
        <v>0</v>
      </c>
      <c r="J199" s="23">
        <f t="shared" si="41"/>
        <v>0</v>
      </c>
      <c r="K199" s="23">
        <f t="shared" si="41"/>
        <v>0</v>
      </c>
      <c r="L199" s="23">
        <f t="shared" si="41"/>
        <v>0</v>
      </c>
      <c r="M199" s="23">
        <f t="shared" si="41"/>
        <v>0</v>
      </c>
      <c r="N199" s="23">
        <f t="shared" si="41"/>
        <v>0</v>
      </c>
      <c r="O199" s="23">
        <f t="shared" si="41"/>
        <v>0</v>
      </c>
      <c r="P199" s="23">
        <f t="shared" si="41"/>
        <v>0</v>
      </c>
      <c r="Q199" s="23">
        <f t="shared" si="41"/>
        <v>0</v>
      </c>
      <c r="R199" s="23">
        <f t="shared" si="41"/>
        <v>0</v>
      </c>
      <c r="S199" s="23">
        <f t="shared" si="41"/>
        <v>0</v>
      </c>
      <c r="T199" s="23">
        <f t="shared" si="41"/>
        <v>0</v>
      </c>
      <c r="U199" s="23">
        <f t="shared" si="41"/>
        <v>0</v>
      </c>
      <c r="V199" s="23">
        <f t="shared" si="41"/>
        <v>0</v>
      </c>
      <c r="X199" s="23"/>
      <c r="Y199" s="6"/>
      <c r="Z199" s="25"/>
      <c r="AA199" s="6"/>
      <c r="AB199" s="6"/>
      <c r="AC199" s="6" t="str">
        <f>IF(ISBLANK(E199),"",E199)</f>
        <v>Fuel Inventory - No. 6 Fuel</v>
      </c>
      <c r="AD199" s="6"/>
      <c r="AE199" s="6" t="s">
        <v>516</v>
      </c>
      <c r="AF199" s="6"/>
      <c r="AG199" s="6"/>
      <c r="AH199" s="6"/>
      <c r="AI199" s="6"/>
    </row>
    <row r="200" spans="1:35" ht="16.5" x14ac:dyDescent="0.3">
      <c r="A200" s="28">
        <f>F200-SUM(G200:V200)</f>
        <v>0</v>
      </c>
      <c r="B200" s="28"/>
      <c r="C200" s="19"/>
      <c r="D200" s="1">
        <v>4</v>
      </c>
      <c r="E200" s="6" t="s">
        <v>122</v>
      </c>
      <c r="F200" s="23">
        <v>180545.75907613579</v>
      </c>
      <c r="G200" s="23">
        <f t="shared" si="41"/>
        <v>180545.75907613579</v>
      </c>
      <c r="H200" s="23">
        <f t="shared" si="41"/>
        <v>0</v>
      </c>
      <c r="I200" s="23">
        <f t="shared" si="41"/>
        <v>0</v>
      </c>
      <c r="J200" s="23">
        <f t="shared" si="41"/>
        <v>0</v>
      </c>
      <c r="K200" s="23">
        <f t="shared" si="41"/>
        <v>0</v>
      </c>
      <c r="L200" s="23">
        <f t="shared" si="41"/>
        <v>0</v>
      </c>
      <c r="M200" s="23">
        <f t="shared" si="41"/>
        <v>0</v>
      </c>
      <c r="N200" s="23">
        <f t="shared" si="41"/>
        <v>0</v>
      </c>
      <c r="O200" s="23">
        <f t="shared" si="41"/>
        <v>0</v>
      </c>
      <c r="P200" s="23">
        <f t="shared" si="41"/>
        <v>0</v>
      </c>
      <c r="Q200" s="23">
        <f t="shared" si="41"/>
        <v>0</v>
      </c>
      <c r="R200" s="23">
        <f t="shared" si="41"/>
        <v>0</v>
      </c>
      <c r="S200" s="23">
        <f t="shared" si="41"/>
        <v>0</v>
      </c>
      <c r="T200" s="23">
        <f t="shared" si="41"/>
        <v>0</v>
      </c>
      <c r="U200" s="23">
        <f t="shared" si="41"/>
        <v>0</v>
      </c>
      <c r="V200" s="23">
        <f t="shared" si="41"/>
        <v>0</v>
      </c>
      <c r="X200" s="23"/>
      <c r="Y200" s="6"/>
      <c r="Z200" s="25"/>
      <c r="AA200" s="6"/>
      <c r="AB200" s="6"/>
      <c r="AC200" s="6" t="str">
        <f t="shared" si="38"/>
        <v>Fuel Inventory - Diesel</v>
      </c>
      <c r="AD200" s="6"/>
      <c r="AE200" s="6" t="s">
        <v>517</v>
      </c>
      <c r="AF200" s="6"/>
      <c r="AG200" s="6"/>
      <c r="AH200" s="6"/>
      <c r="AI200" s="6"/>
    </row>
    <row r="201" spans="1:35" ht="16.5" x14ac:dyDescent="0.3">
      <c r="A201" s="28"/>
      <c r="B201" s="28"/>
      <c r="C201" s="19"/>
      <c r="D201" s="1">
        <v>5</v>
      </c>
      <c r="E201" s="27" t="s">
        <v>123</v>
      </c>
      <c r="F201" s="23">
        <v>7763005.7876923075</v>
      </c>
      <c r="G201" s="23">
        <f t="shared" si="41"/>
        <v>7763005.7876923075</v>
      </c>
      <c r="H201" s="23">
        <f t="shared" si="41"/>
        <v>0</v>
      </c>
      <c r="I201" s="23">
        <f t="shared" si="41"/>
        <v>0</v>
      </c>
      <c r="J201" s="23">
        <f t="shared" si="41"/>
        <v>0</v>
      </c>
      <c r="K201" s="23">
        <f t="shared" si="41"/>
        <v>0</v>
      </c>
      <c r="L201" s="23">
        <f t="shared" si="41"/>
        <v>0</v>
      </c>
      <c r="M201" s="23">
        <f t="shared" si="41"/>
        <v>0</v>
      </c>
      <c r="N201" s="23">
        <f t="shared" si="41"/>
        <v>0</v>
      </c>
      <c r="O201" s="23">
        <f t="shared" si="41"/>
        <v>0</v>
      </c>
      <c r="P201" s="23">
        <f t="shared" si="41"/>
        <v>0</v>
      </c>
      <c r="Q201" s="23">
        <f t="shared" si="41"/>
        <v>0</v>
      </c>
      <c r="R201" s="23">
        <f t="shared" si="41"/>
        <v>0</v>
      </c>
      <c r="S201" s="23">
        <f t="shared" si="41"/>
        <v>0</v>
      </c>
      <c r="T201" s="23">
        <f t="shared" si="41"/>
        <v>0</v>
      </c>
      <c r="U201" s="23">
        <f t="shared" si="41"/>
        <v>0</v>
      </c>
      <c r="V201" s="23">
        <f t="shared" si="41"/>
        <v>0</v>
      </c>
      <c r="X201" s="6"/>
      <c r="Y201" s="6"/>
      <c r="Z201" s="25"/>
      <c r="AA201" s="6"/>
      <c r="AB201" s="6"/>
      <c r="AC201" s="6" t="str">
        <f t="shared" si="38"/>
        <v>Fuel Inventory - Gas Turbine</v>
      </c>
      <c r="AD201" s="6"/>
      <c r="AE201" s="57" t="s">
        <v>518</v>
      </c>
      <c r="AF201" s="6"/>
      <c r="AG201" s="6"/>
      <c r="AH201" s="6"/>
      <c r="AI201" s="6"/>
    </row>
    <row r="202" spans="1:35" ht="16.5" x14ac:dyDescent="0.3">
      <c r="A202" s="28"/>
      <c r="B202" s="28"/>
      <c r="C202" s="19"/>
      <c r="D202" s="1"/>
      <c r="E202" s="6"/>
      <c r="F202" s="23">
        <v>0</v>
      </c>
      <c r="G202" s="23">
        <v>0</v>
      </c>
      <c r="H202" s="23">
        <v>0</v>
      </c>
      <c r="I202" s="23">
        <v>0</v>
      </c>
      <c r="J202" s="23">
        <v>0</v>
      </c>
      <c r="K202" s="23">
        <v>0</v>
      </c>
      <c r="L202" s="23">
        <v>0</v>
      </c>
      <c r="M202" s="23">
        <v>0</v>
      </c>
      <c r="N202" s="23">
        <v>0</v>
      </c>
      <c r="O202" s="23">
        <v>0</v>
      </c>
      <c r="P202" s="23">
        <v>0</v>
      </c>
      <c r="Q202" s="23">
        <v>0</v>
      </c>
      <c r="R202" s="23">
        <v>0</v>
      </c>
      <c r="S202" s="23">
        <v>0</v>
      </c>
      <c r="T202" s="23">
        <v>0</v>
      </c>
      <c r="U202" s="23">
        <v>0</v>
      </c>
      <c r="V202" s="23">
        <v>0</v>
      </c>
      <c r="X202" s="6"/>
      <c r="Y202" s="6"/>
      <c r="Z202" s="6"/>
      <c r="AA202" s="6"/>
      <c r="AB202" s="6"/>
      <c r="AC202" s="6" t="str">
        <f t="shared" si="38"/>
        <v/>
      </c>
      <c r="AD202" s="6"/>
      <c r="AE202" s="6"/>
      <c r="AF202" s="6"/>
      <c r="AG202" s="6"/>
      <c r="AH202" s="6"/>
      <c r="AI202" s="6"/>
    </row>
    <row r="203" spans="1:35" ht="16.5" x14ac:dyDescent="0.3">
      <c r="A203" s="28">
        <f>F203-SUM(G203:V203)</f>
        <v>0</v>
      </c>
      <c r="B203" s="28"/>
      <c r="C203" s="19"/>
      <c r="D203" s="1">
        <v>6</v>
      </c>
      <c r="E203" s="6" t="s">
        <v>124</v>
      </c>
      <c r="F203" s="23">
        <v>39481123.042142414</v>
      </c>
      <c r="G203" s="34">
        <f t="shared" ref="G203:V203" si="42">IF(SUM($G$58:$V$58)&lt;&gt;0,$F203*(G$58/SUM($G$58:$V$58)),0)</f>
        <v>15246674.190477744</v>
      </c>
      <c r="H203" s="34">
        <f t="shared" si="42"/>
        <v>8016130.5627348004</v>
      </c>
      <c r="I203" s="34">
        <f t="shared" si="42"/>
        <v>9990618.916015435</v>
      </c>
      <c r="J203" s="34">
        <f t="shared" si="42"/>
        <v>1500760.3473599402</v>
      </c>
      <c r="K203" s="34">
        <f t="shared" si="42"/>
        <v>785819.64754384302</v>
      </c>
      <c r="L203" s="34">
        <f t="shared" si="42"/>
        <v>1566929.6053116939</v>
      </c>
      <c r="M203" s="34">
        <f t="shared" si="42"/>
        <v>427484.78613857512</v>
      </c>
      <c r="N203" s="34">
        <f t="shared" si="42"/>
        <v>130663.63943937079</v>
      </c>
      <c r="O203" s="34">
        <f t="shared" si="42"/>
        <v>231285.50028187802</v>
      </c>
      <c r="P203" s="34">
        <f t="shared" si="42"/>
        <v>226384.1877729976</v>
      </c>
      <c r="Q203" s="34">
        <f t="shared" si="42"/>
        <v>256908.69823579758</v>
      </c>
      <c r="R203" s="34">
        <f t="shared" si="42"/>
        <v>75445.271751851469</v>
      </c>
      <c r="S203" s="34">
        <f t="shared" si="42"/>
        <v>126406.99860844888</v>
      </c>
      <c r="T203" s="34">
        <f t="shared" si="42"/>
        <v>64375.451626378621</v>
      </c>
      <c r="U203" s="34">
        <f t="shared" si="42"/>
        <v>86270.658215651594</v>
      </c>
      <c r="V203" s="34">
        <f t="shared" si="42"/>
        <v>748964.58062800625</v>
      </c>
      <c r="X203" s="23"/>
      <c r="Y203" s="6"/>
      <c r="Z203" s="25"/>
      <c r="AA203" s="6"/>
      <c r="AB203" s="6"/>
      <c r="AC203" s="6" t="str">
        <f t="shared" si="38"/>
        <v>Inventory/Supplies</v>
      </c>
      <c r="AD203" s="6"/>
      <c r="AE203" s="6" t="str">
        <f>"Prorated on Total Plant in Service, Sch F  2.2, L. "&amp;$D$58</f>
        <v>Prorated on Total Plant in Service, Sch F  2.2, L. 42</v>
      </c>
      <c r="AF203" s="6"/>
      <c r="AG203" s="6"/>
      <c r="AH203" s="6"/>
      <c r="AI203" s="6"/>
    </row>
    <row r="204" spans="1:35" ht="16.5" x14ac:dyDescent="0.3">
      <c r="A204" s="28"/>
      <c r="B204" s="28"/>
      <c r="C204" s="19"/>
      <c r="D204" s="1"/>
      <c r="E204" s="6"/>
      <c r="F204" s="23">
        <v>0</v>
      </c>
      <c r="G204" s="34">
        <v>0</v>
      </c>
      <c r="H204" s="34">
        <v>0</v>
      </c>
      <c r="I204" s="34">
        <v>0</v>
      </c>
      <c r="J204" s="34">
        <v>0</v>
      </c>
      <c r="K204" s="34">
        <v>0</v>
      </c>
      <c r="L204" s="34">
        <v>0</v>
      </c>
      <c r="M204" s="34">
        <v>0</v>
      </c>
      <c r="N204" s="34">
        <v>0</v>
      </c>
      <c r="O204" s="34">
        <v>0</v>
      </c>
      <c r="P204" s="34">
        <v>0</v>
      </c>
      <c r="Q204" s="34">
        <v>0</v>
      </c>
      <c r="R204" s="34">
        <v>0</v>
      </c>
      <c r="S204" s="34">
        <v>0</v>
      </c>
      <c r="T204" s="34">
        <v>0</v>
      </c>
      <c r="U204" s="34">
        <v>0</v>
      </c>
      <c r="V204" s="34">
        <v>0</v>
      </c>
      <c r="X204" s="23"/>
      <c r="Y204" s="6"/>
      <c r="Z204" s="25"/>
      <c r="AA204" s="6"/>
      <c r="AB204" s="6"/>
      <c r="AC204" s="6"/>
      <c r="AD204" s="6"/>
      <c r="AE204" s="6"/>
      <c r="AF204" s="6"/>
      <c r="AG204" s="6"/>
      <c r="AH204" s="6"/>
      <c r="AI204" s="6"/>
    </row>
    <row r="205" spans="1:35" ht="16.5" customHeight="1" x14ac:dyDescent="0.3">
      <c r="A205" s="28">
        <f>F205-SUM(G205:V205)</f>
        <v>0</v>
      </c>
      <c r="B205" s="28"/>
      <c r="C205" s="19"/>
      <c r="D205" s="1">
        <v>7</v>
      </c>
      <c r="E205" s="6" t="s">
        <v>555</v>
      </c>
      <c r="F205" s="23">
        <v>47774.5</v>
      </c>
      <c r="G205" s="34">
        <v>42442.8658</v>
      </c>
      <c r="H205" s="34">
        <v>5331.6342000000004</v>
      </c>
      <c r="I205" s="34">
        <v>0</v>
      </c>
      <c r="J205" s="23">
        <v>0</v>
      </c>
      <c r="K205" s="23">
        <v>0</v>
      </c>
      <c r="L205" s="23">
        <v>0</v>
      </c>
      <c r="M205" s="23">
        <v>0</v>
      </c>
      <c r="N205" s="23">
        <v>0</v>
      </c>
      <c r="O205" s="23">
        <v>0</v>
      </c>
      <c r="P205" s="23">
        <v>0</v>
      </c>
      <c r="Q205" s="23">
        <v>0</v>
      </c>
      <c r="R205" s="23">
        <v>0</v>
      </c>
      <c r="S205" s="23">
        <v>0</v>
      </c>
      <c r="T205" s="23">
        <v>0</v>
      </c>
      <c r="U205" s="23">
        <v>0</v>
      </c>
      <c r="V205" s="23">
        <v>0</v>
      </c>
      <c r="X205" s="6"/>
      <c r="Y205" s="6"/>
      <c r="Z205" s="6"/>
      <c r="AA205" s="6"/>
      <c r="AB205" s="6"/>
      <c r="AC205" s="6" t="str">
        <f t="shared" si="38"/>
        <v>Deferred Charges: Muskrat Falls</v>
      </c>
      <c r="AD205" s="6"/>
      <c r="AE205" s="57" t="s">
        <v>503</v>
      </c>
      <c r="AF205" s="6"/>
      <c r="AG205" s="6"/>
      <c r="AH205" s="6"/>
      <c r="AI205" s="6"/>
    </row>
    <row r="206" spans="1:35" ht="49.5" x14ac:dyDescent="0.3">
      <c r="A206" s="28">
        <f>F206-SUM(G206:V206)</f>
        <v>0</v>
      </c>
      <c r="B206" s="28"/>
      <c r="C206" s="19"/>
      <c r="D206" s="1">
        <v>8</v>
      </c>
      <c r="E206" s="56" t="s">
        <v>125</v>
      </c>
      <c r="F206" s="23">
        <v>101068768.10439928</v>
      </c>
      <c r="G206" s="34">
        <f t="shared" ref="G206:V207" si="43">IF(SUM($G$195:$V$195)&lt;&gt;0,$F206*(G$195/SUM($G$195:$V$195)),0)</f>
        <v>36438018.265579276</v>
      </c>
      <c r="H206" s="34">
        <f t="shared" si="43"/>
        <v>22888352.824332189</v>
      </c>
      <c r="I206" s="34">
        <f t="shared" si="43"/>
        <v>28824662.829313952</v>
      </c>
      <c r="J206" s="34">
        <f t="shared" si="43"/>
        <v>2626502.2961210366</v>
      </c>
      <c r="K206" s="34">
        <f t="shared" si="43"/>
        <v>3128688.215739327</v>
      </c>
      <c r="L206" s="34">
        <f t="shared" si="43"/>
        <v>2747250.1273082467</v>
      </c>
      <c r="M206" s="34">
        <f t="shared" si="43"/>
        <v>755408.48080664559</v>
      </c>
      <c r="N206" s="34">
        <f t="shared" si="43"/>
        <v>268381.29008905118</v>
      </c>
      <c r="O206" s="34">
        <f t="shared" si="43"/>
        <v>475057.18661192164</v>
      </c>
      <c r="P206" s="34">
        <f t="shared" si="43"/>
        <v>380565.97565420117</v>
      </c>
      <c r="Q206" s="34">
        <f t="shared" si="43"/>
        <v>435008.84359060484</v>
      </c>
      <c r="R206" s="34">
        <f t="shared" si="43"/>
        <v>94569.706167282318</v>
      </c>
      <c r="S206" s="34">
        <f t="shared" si="43"/>
        <v>361804.70174340444</v>
      </c>
      <c r="T206" s="34">
        <f t="shared" si="43"/>
        <v>112973.99914721015</v>
      </c>
      <c r="U206" s="34">
        <f t="shared" si="43"/>
        <v>170331.23138245736</v>
      </c>
      <c r="V206" s="34">
        <f t="shared" si="43"/>
        <v>1361192.1308124871</v>
      </c>
      <c r="X206" s="23"/>
      <c r="Y206" s="6"/>
      <c r="Z206" s="58"/>
      <c r="AA206" s="6"/>
      <c r="AB206" s="6"/>
      <c r="AC206" s="56" t="str">
        <f t="shared" si="38"/>
        <v>Deferred Charges: 
Foreign Exchange Loss and Regulatory Costs</v>
      </c>
      <c r="AD206" s="6"/>
      <c r="AE206" s="235" t="s">
        <v>120</v>
      </c>
      <c r="AF206" s="236"/>
      <c r="AG206" s="6"/>
      <c r="AH206" s="6"/>
      <c r="AI206" s="6"/>
    </row>
    <row r="207" spans="1:35" ht="16.5" x14ac:dyDescent="0.3">
      <c r="A207" s="28"/>
      <c r="B207" s="28"/>
      <c r="C207" s="26" t="s">
        <v>39</v>
      </c>
      <c r="D207" s="1">
        <v>9</v>
      </c>
      <c r="E207" s="6" t="s">
        <v>126</v>
      </c>
      <c r="F207" s="23">
        <v>28866723.831891239</v>
      </c>
      <c r="G207" s="34">
        <f t="shared" si="43"/>
        <v>10407232.916575948</v>
      </c>
      <c r="H207" s="34">
        <f t="shared" si="43"/>
        <v>6537249.5612531956</v>
      </c>
      <c r="I207" s="34">
        <f t="shared" si="43"/>
        <v>8232746.842048117</v>
      </c>
      <c r="J207" s="34">
        <f t="shared" si="43"/>
        <v>750167.61209196923</v>
      </c>
      <c r="K207" s="34">
        <f t="shared" si="43"/>
        <v>893599.28268393059</v>
      </c>
      <c r="L207" s="34">
        <f t="shared" si="43"/>
        <v>784654.96522345848</v>
      </c>
      <c r="M207" s="34">
        <f t="shared" si="43"/>
        <v>215755.75130379747</v>
      </c>
      <c r="N207" s="34">
        <f t="shared" si="43"/>
        <v>76653.636211779551</v>
      </c>
      <c r="O207" s="34">
        <f t="shared" si="43"/>
        <v>135683.30620312225</v>
      </c>
      <c r="P207" s="34">
        <f t="shared" si="43"/>
        <v>108695.22924902345</v>
      </c>
      <c r="Q207" s="34">
        <f t="shared" si="43"/>
        <v>124244.91153774905</v>
      </c>
      <c r="R207" s="34">
        <f t="shared" si="43"/>
        <v>27010.496338237386</v>
      </c>
      <c r="S207" s="34">
        <f t="shared" si="43"/>
        <v>103336.73400984124</v>
      </c>
      <c r="T207" s="34">
        <f t="shared" si="43"/>
        <v>32267.032583183136</v>
      </c>
      <c r="U207" s="34">
        <f t="shared" si="43"/>
        <v>48649.100097711998</v>
      </c>
      <c r="V207" s="34">
        <f t="shared" si="43"/>
        <v>388776.4544801779</v>
      </c>
      <c r="X207" s="23"/>
      <c r="Y207" s="6"/>
      <c r="Z207" s="58"/>
      <c r="AA207" s="6"/>
      <c r="AB207" s="6"/>
      <c r="AC207" s="56" t="str">
        <f t="shared" si="38"/>
        <v>Retired Asset Pool</v>
      </c>
      <c r="AD207" s="6"/>
      <c r="AE207" s="235" t="s">
        <v>120</v>
      </c>
      <c r="AF207" s="236"/>
      <c r="AG207" s="6"/>
      <c r="AH207" s="6"/>
      <c r="AI207" s="6"/>
    </row>
    <row r="208" spans="1:35" ht="17.25" thickBot="1" x14ac:dyDescent="0.35">
      <c r="A208" s="28">
        <f>SUM(F195:F207)-F208</f>
        <v>0</v>
      </c>
      <c r="B208" s="28"/>
      <c r="C208" s="26" t="s">
        <v>39</v>
      </c>
      <c r="D208" s="1">
        <v>10</v>
      </c>
      <c r="E208" s="6" t="s">
        <v>127</v>
      </c>
      <c r="F208" s="41">
        <f>SUM(G208:V208)</f>
        <v>2450602123.3031816</v>
      </c>
      <c r="G208" s="41">
        <f>SUM(G195:G207)</f>
        <v>870170299.50022852</v>
      </c>
      <c r="H208" s="41">
        <f t="shared" ref="H208:V208" si="44">SUM(H195:H207)</f>
        <v>593984922.34170675</v>
      </c>
      <c r="I208" s="41">
        <f t="shared" si="44"/>
        <v>679969196.51419353</v>
      </c>
      <c r="J208" s="41">
        <f t="shared" si="44"/>
        <v>62549185.539135307</v>
      </c>
      <c r="K208" s="41">
        <f t="shared" si="44"/>
        <v>73506673.068853617</v>
      </c>
      <c r="L208" s="41">
        <f t="shared" si="44"/>
        <v>65421925.707071841</v>
      </c>
      <c r="M208" s="41">
        <f t="shared" si="44"/>
        <v>17985625.967992693</v>
      </c>
      <c r="N208" s="41">
        <f t="shared" si="44"/>
        <v>6368714.5770192761</v>
      </c>
      <c r="O208" s="41">
        <f t="shared" si="44"/>
        <v>11273154.05738315</v>
      </c>
      <c r="P208" s="41">
        <f t="shared" si="44"/>
        <v>9071970.7800909299</v>
      </c>
      <c r="Q208" s="41">
        <f t="shared" si="44"/>
        <v>10367923.976966757</v>
      </c>
      <c r="R208" s="41">
        <f t="shared" si="44"/>
        <v>2273551.7195885382</v>
      </c>
      <c r="S208" s="41">
        <f t="shared" si="44"/>
        <v>8535920.7846938539</v>
      </c>
      <c r="T208" s="41">
        <f t="shared" si="44"/>
        <v>2690257.3119772542</v>
      </c>
      <c r="U208" s="41">
        <f t="shared" si="44"/>
        <v>4045320.4760025768</v>
      </c>
      <c r="V208" s="41">
        <f t="shared" si="44"/>
        <v>32387480.980276346</v>
      </c>
      <c r="X208" s="6"/>
      <c r="Y208" s="6"/>
      <c r="Z208" s="25"/>
      <c r="AA208" s="6"/>
      <c r="AB208" s="6"/>
      <c r="AC208" s="6" t="str">
        <f t="shared" si="38"/>
        <v>Total Rate Base</v>
      </c>
      <c r="AD208" s="6"/>
      <c r="AE208" s="6" t="s">
        <v>39</v>
      </c>
      <c r="AF208" s="6"/>
      <c r="AG208" s="6"/>
      <c r="AH208" s="6"/>
      <c r="AI208" s="6"/>
    </row>
    <row r="209" spans="1:35" ht="17.25" thickTop="1" x14ac:dyDescent="0.3">
      <c r="A209" s="28"/>
      <c r="B209" s="28"/>
      <c r="C209" s="19"/>
      <c r="D209" s="1"/>
      <c r="E209" s="6"/>
      <c r="F209" s="23" t="s">
        <v>39</v>
      </c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X209" s="6"/>
      <c r="Y209" s="6"/>
      <c r="Z209" s="6"/>
      <c r="AA209" s="6"/>
      <c r="AB209" s="6"/>
      <c r="AC209" s="6" t="str">
        <f t="shared" si="38"/>
        <v/>
      </c>
      <c r="AD209" s="6"/>
      <c r="AE209" s="6"/>
      <c r="AF209" s="6"/>
      <c r="AG209" s="6"/>
      <c r="AH209" s="6"/>
      <c r="AI209" s="6"/>
    </row>
    <row r="210" spans="1:35" ht="16.5" x14ac:dyDescent="0.3">
      <c r="A210" s="28"/>
      <c r="B210" s="28"/>
      <c r="C210" s="19"/>
      <c r="D210" s="1">
        <v>11</v>
      </c>
      <c r="E210" s="27" t="s">
        <v>128</v>
      </c>
      <c r="F210" s="59">
        <f>SUM(G210:V210)</f>
        <v>0</v>
      </c>
      <c r="G210" s="59">
        <v>0</v>
      </c>
      <c r="H210" s="59">
        <v>0</v>
      </c>
      <c r="I210" s="59">
        <v>0</v>
      </c>
      <c r="J210" s="59">
        <f>IF(RuralMarginSwitch=1,-J208,0)</f>
        <v>0</v>
      </c>
      <c r="K210" s="59">
        <f t="shared" ref="K210:U210" si="45">IF(RuralMarginSwitch=1,-K208,0)</f>
        <v>0</v>
      </c>
      <c r="L210" s="59">
        <f t="shared" si="45"/>
        <v>0</v>
      </c>
      <c r="M210" s="59">
        <f t="shared" si="45"/>
        <v>0</v>
      </c>
      <c r="N210" s="59">
        <f t="shared" si="45"/>
        <v>0</v>
      </c>
      <c r="O210" s="59">
        <f t="shared" si="45"/>
        <v>0</v>
      </c>
      <c r="P210" s="59">
        <f t="shared" si="45"/>
        <v>0</v>
      </c>
      <c r="Q210" s="59">
        <f t="shared" si="45"/>
        <v>0</v>
      </c>
      <c r="R210" s="59">
        <f t="shared" si="45"/>
        <v>0</v>
      </c>
      <c r="S210" s="59">
        <f t="shared" si="45"/>
        <v>0</v>
      </c>
      <c r="T210" s="59">
        <f t="shared" si="45"/>
        <v>0</v>
      </c>
      <c r="U210" s="59">
        <f t="shared" si="45"/>
        <v>0</v>
      </c>
      <c r="V210" s="59">
        <f>V208*V378</f>
        <v>0</v>
      </c>
      <c r="X210" s="6"/>
      <c r="Y210" s="6"/>
      <c r="Z210" s="25"/>
      <c r="AA210" s="6"/>
      <c r="AB210" s="6"/>
      <c r="AC210" s="6" t="str">
        <f t="shared" si="38"/>
        <v>Less: Rural Asset Portion</v>
      </c>
      <c r="AD210" s="6"/>
      <c r="AE210" s="6" t="str">
        <f>IF(RuralMarginSwitch=1,"Rural Transmission and Distribution Rate Base","N/A")</f>
        <v>N/A</v>
      </c>
      <c r="AF210" s="6"/>
      <c r="AG210" s="6"/>
      <c r="AH210" s="6"/>
      <c r="AI210" s="6"/>
    </row>
    <row r="211" spans="1:35" ht="16.5" x14ac:dyDescent="0.3">
      <c r="A211" s="28"/>
      <c r="B211" s="28"/>
      <c r="C211" s="19"/>
      <c r="D211" s="1"/>
      <c r="E211" s="6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X211" s="6"/>
      <c r="Y211" s="6"/>
      <c r="Z211" s="6"/>
      <c r="AA211" s="6"/>
      <c r="AB211" s="6"/>
      <c r="AC211" s="6" t="str">
        <f t="shared" si="38"/>
        <v/>
      </c>
      <c r="AD211" s="6"/>
      <c r="AE211" s="6"/>
      <c r="AF211" s="6"/>
      <c r="AG211" s="6"/>
      <c r="AH211" s="6"/>
      <c r="AI211" s="6"/>
    </row>
    <row r="212" spans="1:35" ht="33.75" thickBot="1" x14ac:dyDescent="0.35">
      <c r="A212" s="28">
        <f>F208+F210-F212</f>
        <v>0</v>
      </c>
      <c r="B212" s="28"/>
      <c r="C212" s="19"/>
      <c r="D212" s="1">
        <v>12</v>
      </c>
      <c r="E212" s="33" t="s">
        <v>129</v>
      </c>
      <c r="F212" s="60">
        <f>SUM(G212:V212)</f>
        <v>2450602123.3031816</v>
      </c>
      <c r="G212" s="60">
        <f>SUM(G208,G210)</f>
        <v>870170299.50022852</v>
      </c>
      <c r="H212" s="60">
        <f>SUM(H208,H210)</f>
        <v>593984922.34170675</v>
      </c>
      <c r="I212" s="60">
        <f>SUM(I208,I210)</f>
        <v>679969196.51419353</v>
      </c>
      <c r="J212" s="60">
        <f t="shared" ref="J212:V212" si="46">SUM(J208,J210)</f>
        <v>62549185.539135307</v>
      </c>
      <c r="K212" s="60">
        <f t="shared" si="46"/>
        <v>73506673.068853617</v>
      </c>
      <c r="L212" s="60">
        <f t="shared" si="46"/>
        <v>65421925.707071841</v>
      </c>
      <c r="M212" s="60">
        <f t="shared" si="46"/>
        <v>17985625.967992693</v>
      </c>
      <c r="N212" s="60">
        <f t="shared" si="46"/>
        <v>6368714.5770192761</v>
      </c>
      <c r="O212" s="60">
        <f t="shared" si="46"/>
        <v>11273154.05738315</v>
      </c>
      <c r="P212" s="60">
        <f t="shared" si="46"/>
        <v>9071970.7800909299</v>
      </c>
      <c r="Q212" s="60">
        <f t="shared" si="46"/>
        <v>10367923.976966757</v>
      </c>
      <c r="R212" s="60">
        <f t="shared" si="46"/>
        <v>2273551.7195885382</v>
      </c>
      <c r="S212" s="60">
        <f t="shared" si="46"/>
        <v>8535920.7846938539</v>
      </c>
      <c r="T212" s="60">
        <f t="shared" si="46"/>
        <v>2690257.3119772542</v>
      </c>
      <c r="U212" s="60">
        <f t="shared" si="46"/>
        <v>4045320.4760025768</v>
      </c>
      <c r="V212" s="60">
        <f t="shared" si="46"/>
        <v>32387480.980276346</v>
      </c>
      <c r="X212" s="6"/>
      <c r="Y212" s="6"/>
      <c r="Z212" s="25"/>
      <c r="AA212" s="6"/>
      <c r="AB212" s="6"/>
      <c r="AC212" s="56" t="str">
        <f t="shared" si="38"/>
        <v>Rate Base Available for Equity Return</v>
      </c>
      <c r="AD212" s="6" t="s">
        <v>39</v>
      </c>
      <c r="AE212" s="6" t="s">
        <v>39</v>
      </c>
      <c r="AF212" s="6"/>
      <c r="AG212" s="6"/>
      <c r="AH212" s="6"/>
      <c r="AI212" s="6"/>
    </row>
    <row r="213" spans="1:35" ht="17.25" thickTop="1" x14ac:dyDescent="0.3">
      <c r="A213" s="28"/>
      <c r="B213" s="28"/>
      <c r="C213" s="19"/>
      <c r="D213" s="1"/>
      <c r="E213" s="6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X213" s="6"/>
      <c r="Y213" s="6"/>
      <c r="Z213" s="6"/>
      <c r="AA213" s="6"/>
      <c r="AB213" s="6"/>
      <c r="AC213" s="1" t="str">
        <f t="shared" si="38"/>
        <v/>
      </c>
      <c r="AD213" s="6"/>
      <c r="AE213" s="6"/>
      <c r="AF213" s="6"/>
      <c r="AG213" s="6"/>
      <c r="AH213" s="6"/>
      <c r="AI213" s="6"/>
    </row>
    <row r="214" spans="1:35" ht="16.5" x14ac:dyDescent="0.3">
      <c r="A214" s="28">
        <v>0</v>
      </c>
      <c r="B214" s="28"/>
      <c r="C214" s="19"/>
      <c r="D214" s="1">
        <v>13</v>
      </c>
      <c r="E214" s="6" t="s">
        <v>130</v>
      </c>
      <c r="F214" s="23">
        <f>SUM(G214:V214)</f>
        <v>73763123.91142574</v>
      </c>
      <c r="G214" s="34">
        <v>26192126.014956877</v>
      </c>
      <c r="H214" s="34">
        <v>17878946.162485372</v>
      </c>
      <c r="I214" s="34">
        <v>20467072.815077223</v>
      </c>
      <c r="J214" s="34">
        <v>1882730.4847279727</v>
      </c>
      <c r="K214" s="34">
        <v>2212550.8593724938</v>
      </c>
      <c r="L214" s="34">
        <v>1969199.9637828623</v>
      </c>
      <c r="M214" s="34">
        <v>541367.34163658007</v>
      </c>
      <c r="N214" s="34">
        <v>191698.3087682802</v>
      </c>
      <c r="O214" s="34">
        <v>339321.93712723278</v>
      </c>
      <c r="P214" s="34">
        <v>273066.32048073696</v>
      </c>
      <c r="Q214" s="34">
        <v>312074.51170669938</v>
      </c>
      <c r="R214" s="34">
        <v>68433.906759614998</v>
      </c>
      <c r="S214" s="34">
        <v>256931.21561928498</v>
      </c>
      <c r="T214" s="34">
        <v>80976.745090515353</v>
      </c>
      <c r="U214" s="34">
        <v>121764.14632767755</v>
      </c>
      <c r="V214" s="34">
        <v>974863.17750631797</v>
      </c>
      <c r="X214" s="6"/>
      <c r="Y214" s="6"/>
      <c r="Z214" s="25"/>
      <c r="AA214" s="6"/>
      <c r="AB214" s="6"/>
      <c r="AC214" s="6" t="str">
        <f t="shared" si="38"/>
        <v>Return on Debt</v>
      </c>
      <c r="AD214" s="6"/>
      <c r="AE214" s="6" t="s">
        <v>556</v>
      </c>
      <c r="AF214" s="6"/>
      <c r="AG214" s="6"/>
      <c r="AH214" s="6"/>
      <c r="AI214" s="6"/>
    </row>
    <row r="215" spans="1:35" ht="16.5" x14ac:dyDescent="0.3">
      <c r="A215" s="28" t="s">
        <v>39</v>
      </c>
      <c r="B215" s="28"/>
      <c r="C215" s="19"/>
      <c r="D215" s="1" t="s">
        <v>39</v>
      </c>
      <c r="E215" s="6"/>
      <c r="F215" s="23" t="s">
        <v>39</v>
      </c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X215" s="6"/>
      <c r="Y215" s="6"/>
      <c r="Z215" s="6"/>
      <c r="AA215" s="6"/>
      <c r="AB215" s="6"/>
      <c r="AC215" s="6" t="str">
        <f t="shared" si="38"/>
        <v/>
      </c>
      <c r="AD215" s="6"/>
      <c r="AE215" s="6"/>
      <c r="AF215" s="6"/>
      <c r="AG215" s="6"/>
      <c r="AH215" s="6"/>
      <c r="AI215" s="6"/>
    </row>
    <row r="216" spans="1:35" ht="16.5" x14ac:dyDescent="0.3">
      <c r="A216" s="28">
        <v>0</v>
      </c>
      <c r="B216" s="28"/>
      <c r="C216" s="19"/>
      <c r="D216" s="1">
        <v>14</v>
      </c>
      <c r="E216" s="6" t="s">
        <v>131</v>
      </c>
      <c r="F216" s="59">
        <f>SUM(G216:V216)</f>
        <v>45826259.705769487</v>
      </c>
      <c r="G216" s="61">
        <v>16272184.600654274</v>
      </c>
      <c r="H216" s="61">
        <v>11107518.047789916</v>
      </c>
      <c r="I216" s="61">
        <v>12715423.974815421</v>
      </c>
      <c r="J216" s="61">
        <v>1169669.7695818304</v>
      </c>
      <c r="K216" s="61">
        <v>1374574.7863875628</v>
      </c>
      <c r="L216" s="61">
        <v>1223390.0107222435</v>
      </c>
      <c r="M216" s="61">
        <v>336331.20560146339</v>
      </c>
      <c r="N216" s="61">
        <v>119094.96259026047</v>
      </c>
      <c r="O216" s="61">
        <v>210807.98087306492</v>
      </c>
      <c r="P216" s="61">
        <v>169645.8535877004</v>
      </c>
      <c r="Q216" s="61">
        <v>193880.17836927838</v>
      </c>
      <c r="R216" s="61">
        <v>42515.417156305666</v>
      </c>
      <c r="S216" s="61">
        <v>159621.71867377509</v>
      </c>
      <c r="T216" s="61">
        <v>50307.81173397466</v>
      </c>
      <c r="U216" s="61">
        <v>75647.492901248188</v>
      </c>
      <c r="V216" s="61">
        <v>605645.89433116768</v>
      </c>
      <c r="X216" s="6"/>
      <c r="Y216" s="6"/>
      <c r="Z216" s="25"/>
      <c r="AA216" s="6"/>
      <c r="AB216" s="6"/>
      <c r="AC216" s="6" t="str">
        <f t="shared" si="38"/>
        <v>Return on Equity</v>
      </c>
      <c r="AD216" s="6"/>
      <c r="AE216" s="6" t="s">
        <v>557</v>
      </c>
      <c r="AF216" s="6"/>
      <c r="AG216" s="6"/>
      <c r="AH216" s="6"/>
      <c r="AI216" s="6"/>
    </row>
    <row r="217" spans="1:35" ht="16.5" x14ac:dyDescent="0.3">
      <c r="A217" s="28"/>
      <c r="B217" s="28"/>
      <c r="C217" s="19"/>
      <c r="D217" s="1" t="s">
        <v>39</v>
      </c>
      <c r="E217" s="6"/>
      <c r="F217" s="23" t="s">
        <v>39</v>
      </c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X217" s="6"/>
      <c r="Y217" s="6"/>
      <c r="Z217" s="6"/>
      <c r="AA217" s="6"/>
      <c r="AB217" s="6"/>
      <c r="AC217" s="6" t="str">
        <f t="shared" si="38"/>
        <v/>
      </c>
      <c r="AD217" s="6"/>
      <c r="AE217" s="6"/>
      <c r="AF217" s="6"/>
      <c r="AG217" s="6"/>
      <c r="AH217" s="6"/>
      <c r="AI217" s="6"/>
    </row>
    <row r="218" spans="1:35" ht="17.25" thickBot="1" x14ac:dyDescent="0.35">
      <c r="A218" s="28">
        <f>SUM(F214:F216)-F218</f>
        <v>0</v>
      </c>
      <c r="B218" s="28"/>
      <c r="C218" s="19"/>
      <c r="D218" s="1">
        <v>15</v>
      </c>
      <c r="E218" s="6" t="s">
        <v>132</v>
      </c>
      <c r="F218" s="60">
        <f>SUM(G218:V218)</f>
        <v>119589383.61719522</v>
      </c>
      <c r="G218" s="62">
        <f>SUM(G214:G216)</f>
        <v>42464310.615611151</v>
      </c>
      <c r="H218" s="62">
        <f>SUM(H214:H216)</f>
        <v>28986464.210275289</v>
      </c>
      <c r="I218" s="62">
        <f>SUM(I214:I216)</f>
        <v>33182496.789892644</v>
      </c>
      <c r="J218" s="62">
        <f t="shared" ref="J218:V218" si="47">SUM(J214:J216)</f>
        <v>3052400.2543098032</v>
      </c>
      <c r="K218" s="62">
        <f t="shared" si="47"/>
        <v>3587125.6457600566</v>
      </c>
      <c r="L218" s="62">
        <f t="shared" si="47"/>
        <v>3192589.974505106</v>
      </c>
      <c r="M218" s="62">
        <f t="shared" si="47"/>
        <v>877698.54723804351</v>
      </c>
      <c r="N218" s="62">
        <f t="shared" si="47"/>
        <v>310793.27135854069</v>
      </c>
      <c r="O218" s="62">
        <f t="shared" si="47"/>
        <v>550129.91800029774</v>
      </c>
      <c r="P218" s="62">
        <f t="shared" si="47"/>
        <v>442712.17406843737</v>
      </c>
      <c r="Q218" s="62">
        <f t="shared" si="47"/>
        <v>505954.69007597776</v>
      </c>
      <c r="R218" s="62">
        <f t="shared" si="47"/>
        <v>110949.32391592066</v>
      </c>
      <c r="S218" s="62">
        <f t="shared" si="47"/>
        <v>416552.9342930601</v>
      </c>
      <c r="T218" s="62">
        <f t="shared" si="47"/>
        <v>131284.55682449002</v>
      </c>
      <c r="U218" s="62">
        <f t="shared" si="47"/>
        <v>197411.63922892575</v>
      </c>
      <c r="V218" s="62">
        <f t="shared" si="47"/>
        <v>1580509.0718374858</v>
      </c>
      <c r="X218" s="6"/>
      <c r="Y218" s="6"/>
      <c r="Z218" s="25"/>
      <c r="AA218" s="6"/>
      <c r="AB218" s="6"/>
      <c r="AC218" s="6" t="str">
        <f t="shared" si="38"/>
        <v>Return on Rate Base</v>
      </c>
      <c r="AD218" s="6"/>
      <c r="AF218" s="6"/>
      <c r="AG218" s="6"/>
      <c r="AH218" s="6"/>
      <c r="AI218" s="6"/>
    </row>
    <row r="219" spans="1:35" ht="17.25" thickTop="1" x14ac:dyDescent="0.3">
      <c r="A219" s="28"/>
      <c r="B219" s="28"/>
      <c r="C219" s="19"/>
      <c r="D219" s="1"/>
      <c r="E219" s="6"/>
      <c r="F219" s="63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/>
      <c r="X219" s="6"/>
      <c r="Y219" s="6"/>
      <c r="Z219" s="25"/>
      <c r="AA219" s="6"/>
      <c r="AB219" s="6"/>
      <c r="AC219" s="6"/>
      <c r="AD219" s="6"/>
      <c r="AF219" s="6"/>
      <c r="AG219" s="6"/>
      <c r="AH219" s="6"/>
      <c r="AI219" s="6"/>
    </row>
    <row r="220" spans="1:35" ht="16.5" x14ac:dyDescent="0.3">
      <c r="A220" s="28"/>
      <c r="B220" s="28"/>
      <c r="C220" s="26"/>
      <c r="D220" s="1"/>
      <c r="E220" s="6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7" t="s">
        <v>133</v>
      </c>
      <c r="X220" s="6"/>
      <c r="Y220" s="6"/>
      <c r="Z220" s="6"/>
      <c r="AA220" s="6"/>
      <c r="AB220" s="6"/>
      <c r="AC220" s="6" t="str">
        <f t="shared" si="38"/>
        <v/>
      </c>
      <c r="AD220" s="6"/>
      <c r="AE220" s="6"/>
      <c r="AF220" s="6"/>
      <c r="AG220" s="6"/>
      <c r="AH220" s="6"/>
      <c r="AI220" s="7" t="s">
        <v>133</v>
      </c>
    </row>
    <row r="221" spans="1:35" ht="16.5" x14ac:dyDescent="0.3">
      <c r="A221" s="28"/>
      <c r="B221" s="28"/>
      <c r="C221" s="26"/>
      <c r="D221" s="1"/>
      <c r="E221" s="6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7" t="s">
        <v>3</v>
      </c>
      <c r="X221" s="6"/>
      <c r="Y221" s="6"/>
      <c r="Z221" s="6"/>
      <c r="AA221" s="6"/>
      <c r="AB221" s="6"/>
      <c r="AC221" s="6" t="str">
        <f t="shared" si="38"/>
        <v/>
      </c>
      <c r="AD221" s="6"/>
      <c r="AE221" s="6"/>
      <c r="AF221" s="6"/>
      <c r="AG221" s="6"/>
      <c r="AH221" s="6"/>
      <c r="AI221" s="7" t="s">
        <v>4</v>
      </c>
    </row>
    <row r="222" spans="1:35" ht="16.5" x14ac:dyDescent="0.3">
      <c r="A222" s="43"/>
      <c r="B222" s="43"/>
      <c r="C222" s="44"/>
      <c r="D222" s="8" t="str">
        <f>D5</f>
        <v>NEWFOUNDLAND AND LABRADOR HYDRO</v>
      </c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10"/>
      <c r="X222" s="6"/>
      <c r="Y222" s="6"/>
      <c r="AB222" s="9" t="s">
        <v>6</v>
      </c>
      <c r="AC222" s="10"/>
      <c r="AD222" s="9"/>
      <c r="AE222" s="9"/>
      <c r="AF222" s="9"/>
      <c r="AG222" s="9"/>
      <c r="AH222" s="11"/>
      <c r="AI222" s="11"/>
    </row>
    <row r="223" spans="1:35" ht="16.5" x14ac:dyDescent="0.3">
      <c r="A223" s="43"/>
      <c r="B223" s="43"/>
      <c r="C223" s="44"/>
      <c r="D223" s="8" t="str">
        <f>D6</f>
        <v>2027 Test Year Cost of Service Study</v>
      </c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10"/>
      <c r="X223" s="6"/>
      <c r="Y223" s="6"/>
      <c r="AB223" s="9" t="str">
        <f>RunName</f>
        <v>2027 Test Year Cost of Service Study</v>
      </c>
      <c r="AC223" s="10"/>
      <c r="AD223" s="9"/>
      <c r="AE223" s="9"/>
      <c r="AF223" s="9"/>
      <c r="AG223" s="9"/>
      <c r="AH223" s="11"/>
      <c r="AI223" s="11"/>
    </row>
    <row r="224" spans="1:35" ht="16.5" x14ac:dyDescent="0.3">
      <c r="A224" s="43"/>
      <c r="B224" s="43"/>
      <c r="C224" s="44"/>
      <c r="D224" s="8" t="str">
        <f>$B$1</f>
        <v>Island Interconnected</v>
      </c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10"/>
      <c r="X224" s="6"/>
      <c r="Y224" s="6"/>
      <c r="AB224" s="9" t="str">
        <f>$B$1</f>
        <v>Island Interconnected</v>
      </c>
      <c r="AC224" s="10"/>
      <c r="AD224" s="9"/>
      <c r="AE224" s="9"/>
      <c r="AF224" s="9"/>
      <c r="AG224" s="9"/>
      <c r="AH224" s="11"/>
      <c r="AI224" s="11"/>
    </row>
    <row r="225" spans="1:35" ht="16.5" x14ac:dyDescent="0.3">
      <c r="A225" s="43"/>
      <c r="B225" s="43"/>
      <c r="C225" s="44"/>
      <c r="D225" s="8" t="s">
        <v>134</v>
      </c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10"/>
      <c r="X225" s="6"/>
      <c r="Y225" s="6"/>
      <c r="AB225" s="9" t="str">
        <f>+D225&amp;" (CONT'D.)"</f>
        <v>Functional Classification of Operating &amp; Maintenance Expense (CONT'D.)</v>
      </c>
      <c r="AC225" s="10"/>
      <c r="AD225" s="9"/>
      <c r="AE225" s="9"/>
      <c r="AF225" s="9"/>
      <c r="AG225" s="9"/>
      <c r="AH225" s="11"/>
      <c r="AI225" s="11"/>
    </row>
    <row r="226" spans="1:35" ht="16.5" x14ac:dyDescent="0.3">
      <c r="A226" s="45"/>
      <c r="B226" s="45"/>
      <c r="C226" s="45"/>
      <c r="D226" s="1"/>
      <c r="E226" s="1">
        <f t="shared" ref="E226:V226" si="48">MAX(D226)+NoOne</f>
        <v>1</v>
      </c>
      <c r="F226" s="1">
        <f t="shared" si="48"/>
        <v>2</v>
      </c>
      <c r="G226" s="1">
        <f t="shared" si="48"/>
        <v>3</v>
      </c>
      <c r="H226" s="1">
        <f t="shared" si="48"/>
        <v>4</v>
      </c>
      <c r="I226" s="1">
        <f t="shared" si="48"/>
        <v>5</v>
      </c>
      <c r="J226" s="1">
        <f t="shared" si="48"/>
        <v>6</v>
      </c>
      <c r="K226" s="1">
        <f t="shared" si="48"/>
        <v>7</v>
      </c>
      <c r="L226" s="1">
        <f t="shared" si="48"/>
        <v>8</v>
      </c>
      <c r="M226" s="1">
        <f t="shared" si="48"/>
        <v>9</v>
      </c>
      <c r="N226" s="1">
        <f t="shared" si="48"/>
        <v>10</v>
      </c>
      <c r="O226" s="1">
        <f t="shared" si="48"/>
        <v>11</v>
      </c>
      <c r="P226" s="1">
        <f t="shared" si="48"/>
        <v>12</v>
      </c>
      <c r="Q226" s="1">
        <f t="shared" si="48"/>
        <v>13</v>
      </c>
      <c r="R226" s="1">
        <f t="shared" si="48"/>
        <v>14</v>
      </c>
      <c r="S226" s="1">
        <f t="shared" si="48"/>
        <v>15</v>
      </c>
      <c r="T226" s="1">
        <f t="shared" si="48"/>
        <v>16</v>
      </c>
      <c r="U226" s="1">
        <f t="shared" si="48"/>
        <v>17</v>
      </c>
      <c r="V226" s="1">
        <f t="shared" si="48"/>
        <v>18</v>
      </c>
      <c r="X226" s="6"/>
      <c r="Y226" s="6"/>
      <c r="Z226" s="6"/>
      <c r="AA226" s="6"/>
      <c r="AB226" s="6"/>
      <c r="AC226" s="1">
        <v>1</v>
      </c>
      <c r="AD226" s="13"/>
      <c r="AE226" s="1">
        <v>19</v>
      </c>
      <c r="AF226" s="1">
        <v>20</v>
      </c>
      <c r="AG226" s="13"/>
      <c r="AH226" s="1">
        <v>21</v>
      </c>
      <c r="AI226" s="13"/>
    </row>
    <row r="227" spans="1:35" s="12" customFormat="1" ht="16.5" x14ac:dyDescent="0.3">
      <c r="A227" s="45"/>
      <c r="B227" s="45"/>
      <c r="C227" s="46"/>
      <c r="D227" s="1"/>
      <c r="E227" s="13"/>
      <c r="F227" s="25"/>
      <c r="G227" s="13"/>
      <c r="H227" s="13"/>
      <c r="I227" s="13"/>
      <c r="J227" s="13" t="s">
        <v>8</v>
      </c>
      <c r="K227" s="47" t="s">
        <v>9</v>
      </c>
      <c r="L227" s="47"/>
      <c r="M227" s="47"/>
      <c r="N227" s="47"/>
      <c r="O227" s="47"/>
      <c r="P227" s="47"/>
      <c r="Q227" s="47"/>
      <c r="R227" s="47"/>
      <c r="S227" s="47"/>
      <c r="T227" s="47"/>
      <c r="U227" s="23"/>
      <c r="V227" s="25" t="s">
        <v>10</v>
      </c>
      <c r="X227" s="13"/>
      <c r="Y227" s="13"/>
      <c r="Z227" s="13"/>
      <c r="AA227" s="13"/>
      <c r="AB227" s="13"/>
      <c r="AE227" s="65" t="s">
        <v>135</v>
      </c>
      <c r="AF227" s="66"/>
    </row>
    <row r="228" spans="1:35" s="12" customFormat="1" ht="16.5" x14ac:dyDescent="0.3">
      <c r="A228" s="45"/>
      <c r="B228" s="45"/>
      <c r="C228" s="46"/>
      <c r="D228" s="1" t="s">
        <v>14</v>
      </c>
      <c r="E228" s="13"/>
      <c r="F228" s="25" t="s">
        <v>15</v>
      </c>
      <c r="G228" s="13" t="s">
        <v>16</v>
      </c>
      <c r="H228" s="13" t="s">
        <v>16</v>
      </c>
      <c r="I228" s="13" t="s">
        <v>17</v>
      </c>
      <c r="J228" s="25" t="s">
        <v>17</v>
      </c>
      <c r="K228" s="25" t="s">
        <v>18</v>
      </c>
      <c r="L228" s="47" t="s">
        <v>19</v>
      </c>
      <c r="M228" s="47"/>
      <c r="N228" s="47" t="s">
        <v>20</v>
      </c>
      <c r="O228" s="47"/>
      <c r="P228" s="47" t="s">
        <v>21</v>
      </c>
      <c r="Q228" s="47"/>
      <c r="R228" s="48" t="s">
        <v>22</v>
      </c>
      <c r="S228" s="48" t="s">
        <v>23</v>
      </c>
      <c r="T228" s="49" t="s">
        <v>24</v>
      </c>
      <c r="U228" s="48" t="s">
        <v>25</v>
      </c>
      <c r="V228" s="25" t="s">
        <v>26</v>
      </c>
      <c r="X228" s="13"/>
      <c r="Y228" s="13"/>
      <c r="Z228" s="16"/>
      <c r="AA228" s="13"/>
      <c r="AB228" s="13"/>
      <c r="AC228" s="13"/>
      <c r="AD228" s="13"/>
      <c r="AE228" s="13" t="s">
        <v>136</v>
      </c>
      <c r="AF228" s="13" t="s">
        <v>137</v>
      </c>
      <c r="AG228" s="13"/>
      <c r="AH228" s="13"/>
      <c r="AI228" s="13"/>
    </row>
    <row r="229" spans="1:35" s="12" customFormat="1" ht="16.5" x14ac:dyDescent="0.3">
      <c r="A229" s="45"/>
      <c r="B229" s="45"/>
      <c r="C229" s="46"/>
      <c r="D229" s="1" t="s">
        <v>30</v>
      </c>
      <c r="E229" s="13" t="s">
        <v>31</v>
      </c>
      <c r="F229" s="25" t="s">
        <v>32</v>
      </c>
      <c r="G229" s="25" t="s">
        <v>33</v>
      </c>
      <c r="H229" s="25" t="s">
        <v>34</v>
      </c>
      <c r="I229" s="13" t="s">
        <v>33</v>
      </c>
      <c r="J229" s="25" t="s">
        <v>33</v>
      </c>
      <c r="K229" s="25" t="s">
        <v>33</v>
      </c>
      <c r="L229" s="25" t="s">
        <v>33</v>
      </c>
      <c r="M229" s="25" t="s">
        <v>35</v>
      </c>
      <c r="N229" s="25" t="s">
        <v>33</v>
      </c>
      <c r="O229" s="25" t="s">
        <v>35</v>
      </c>
      <c r="P229" s="25" t="s">
        <v>33</v>
      </c>
      <c r="Q229" s="25" t="s">
        <v>35</v>
      </c>
      <c r="R229" s="25" t="s">
        <v>35</v>
      </c>
      <c r="S229" s="25" t="s">
        <v>35</v>
      </c>
      <c r="T229" s="25" t="s">
        <v>35</v>
      </c>
      <c r="U229" s="25" t="s">
        <v>35</v>
      </c>
      <c r="V229" s="25" t="s">
        <v>35</v>
      </c>
      <c r="X229" s="13"/>
      <c r="Y229" s="13"/>
      <c r="Z229" s="16"/>
      <c r="AA229" s="13"/>
      <c r="AB229" s="13"/>
      <c r="AC229" s="13" t="s">
        <v>31</v>
      </c>
      <c r="AD229" s="13"/>
      <c r="AE229" s="13" t="s">
        <v>138</v>
      </c>
      <c r="AF229" s="13" t="s">
        <v>139</v>
      </c>
      <c r="AG229" s="13"/>
      <c r="AH229" s="17" t="s">
        <v>36</v>
      </c>
      <c r="AI229" s="13"/>
    </row>
    <row r="230" spans="1:35" s="12" customFormat="1" ht="16.5" x14ac:dyDescent="0.3">
      <c r="A230" s="45"/>
      <c r="B230" s="45"/>
      <c r="C230" s="46"/>
      <c r="D230" s="1"/>
      <c r="E230" s="20" t="s">
        <v>16</v>
      </c>
      <c r="F230" s="25" t="s">
        <v>37</v>
      </c>
      <c r="G230" s="25" t="s">
        <v>37</v>
      </c>
      <c r="H230" s="25" t="s">
        <v>37</v>
      </c>
      <c r="I230" s="13" t="s">
        <v>37</v>
      </c>
      <c r="J230" s="25" t="s">
        <v>37</v>
      </c>
      <c r="K230" s="25" t="s">
        <v>37</v>
      </c>
      <c r="L230" s="25" t="s">
        <v>37</v>
      </c>
      <c r="M230" s="25" t="s">
        <v>37</v>
      </c>
      <c r="N230" s="25" t="s">
        <v>37</v>
      </c>
      <c r="O230" s="25" t="s">
        <v>37</v>
      </c>
      <c r="P230" s="25" t="s">
        <v>37</v>
      </c>
      <c r="Q230" s="25" t="s">
        <v>37</v>
      </c>
      <c r="R230" s="25" t="s">
        <v>37</v>
      </c>
      <c r="S230" s="25" t="s">
        <v>37</v>
      </c>
      <c r="T230" s="25" t="s">
        <v>37</v>
      </c>
      <c r="U230" s="25" t="s">
        <v>37</v>
      </c>
      <c r="V230" s="25" t="s">
        <v>37</v>
      </c>
      <c r="X230" s="13"/>
      <c r="Y230" s="13"/>
      <c r="Z230" s="16"/>
      <c r="AA230" s="13"/>
      <c r="AB230" s="13"/>
      <c r="AC230" s="20" t="str">
        <f t="shared" ref="AC230:AC270" si="49">IF(ISBLANK(E230),"",E230)</f>
        <v>Production</v>
      </c>
      <c r="AD230" s="13"/>
      <c r="AF230" s="13"/>
      <c r="AG230" s="13"/>
      <c r="AH230" s="13"/>
      <c r="AI230" s="13"/>
    </row>
    <row r="231" spans="1:35" ht="16.5" x14ac:dyDescent="0.3">
      <c r="A231" s="28"/>
      <c r="B231" s="28"/>
      <c r="C231" s="26" t="s">
        <v>39</v>
      </c>
      <c r="D231" s="1">
        <f t="shared" ref="D231:D237" si="50">MAX(D228:D230)+NoOne</f>
        <v>1</v>
      </c>
      <c r="E231" s="6" t="s">
        <v>38</v>
      </c>
      <c r="F231" s="22">
        <v>15587945.276910448</v>
      </c>
      <c r="G231" s="22">
        <f>+G24/$F$24*$F$231</f>
        <v>7749190.9833792206</v>
      </c>
      <c r="H231" s="22">
        <f>+H24/$F$24*$F$231</f>
        <v>7838754.293531226</v>
      </c>
      <c r="I231" s="22">
        <v>0</v>
      </c>
      <c r="J231" s="22">
        <f>+J24/$F$24*$F$231</f>
        <v>0</v>
      </c>
      <c r="K231" s="22">
        <v>0</v>
      </c>
      <c r="L231" s="22">
        <v>0</v>
      </c>
      <c r="M231" s="22">
        <v>0</v>
      </c>
      <c r="N231" s="22">
        <v>0</v>
      </c>
      <c r="O231" s="22">
        <v>0</v>
      </c>
      <c r="P231" s="22">
        <v>0</v>
      </c>
      <c r="Q231" s="22">
        <v>0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X231" s="6"/>
      <c r="Y231" s="6"/>
      <c r="Z231" s="25"/>
      <c r="AA231" s="6"/>
      <c r="AB231" s="6"/>
      <c r="AC231" s="6" t="str">
        <f t="shared" si="49"/>
        <v>Hydraulic</v>
      </c>
      <c r="AD231" s="6"/>
      <c r="AE231" s="22">
        <v>0</v>
      </c>
      <c r="AF231" s="22">
        <v>0</v>
      </c>
      <c r="AG231" s="6"/>
      <c r="AH231" s="6" t="str">
        <f>+"Prorated on Hydraulic Plant in Service - Sch F 2.2 L."&amp;$D$24</f>
        <v>Prorated on Hydraulic Plant in Service - Sch F 2.2 L.10</v>
      </c>
      <c r="AI231" s="6"/>
    </row>
    <row r="232" spans="1:35" ht="16.5" x14ac:dyDescent="0.3">
      <c r="A232" s="28"/>
      <c r="B232" s="28"/>
      <c r="C232" s="26" t="s">
        <v>39</v>
      </c>
      <c r="D232" s="1">
        <f t="shared" si="50"/>
        <v>2</v>
      </c>
      <c r="E232" s="6" t="s">
        <v>140</v>
      </c>
      <c r="F232" s="22">
        <v>20137024.842946809</v>
      </c>
      <c r="G232" s="22">
        <f>+G25/$F$25*$F$232</f>
        <v>17889732.870473944</v>
      </c>
      <c r="H232" s="22">
        <f>+H25/$F$25*$F$232</f>
        <v>2247291.9724728637</v>
      </c>
      <c r="I232" s="22">
        <v>0</v>
      </c>
      <c r="J232" s="22">
        <v>0</v>
      </c>
      <c r="K232" s="22">
        <v>0</v>
      </c>
      <c r="L232" s="22">
        <v>0</v>
      </c>
      <c r="M232" s="22">
        <v>0</v>
      </c>
      <c r="N232" s="22">
        <v>0</v>
      </c>
      <c r="O232" s="22">
        <v>0</v>
      </c>
      <c r="P232" s="22">
        <v>0</v>
      </c>
      <c r="Q232" s="22">
        <v>0</v>
      </c>
      <c r="R232" s="22">
        <v>0</v>
      </c>
      <c r="S232" s="22">
        <v>0</v>
      </c>
      <c r="T232" s="22">
        <v>0</v>
      </c>
      <c r="U232" s="22">
        <v>0</v>
      </c>
      <c r="V232" s="22">
        <v>0</v>
      </c>
      <c r="X232" s="6"/>
      <c r="Y232" s="6"/>
      <c r="Z232" s="25"/>
      <c r="AA232" s="6"/>
      <c r="AB232" s="6"/>
      <c r="AC232" s="6" t="str">
        <f t="shared" si="49"/>
        <v>Holyrood / Thermal</v>
      </c>
      <c r="AD232" s="6"/>
      <c r="AE232" s="22">
        <v>0</v>
      </c>
      <c r="AF232" s="22">
        <v>0</v>
      </c>
      <c r="AG232" s="6"/>
      <c r="AH232" s="6" t="str">
        <f>+"Prorated on Holyrood Plant in Service - Sch F 2.2 L."&amp;$D$25</f>
        <v>Prorated on Holyrood Plant in Service - Sch F 2.2 L.11</v>
      </c>
      <c r="AI232" s="6"/>
    </row>
    <row r="233" spans="1:35" ht="16.5" x14ac:dyDescent="0.3">
      <c r="A233" s="28"/>
      <c r="B233" s="28"/>
      <c r="C233" s="26" t="s">
        <v>39</v>
      </c>
      <c r="D233" s="1">
        <f t="shared" si="50"/>
        <v>3</v>
      </c>
      <c r="E233" s="6" t="s">
        <v>64</v>
      </c>
      <c r="F233" s="22">
        <v>0</v>
      </c>
      <c r="G233" s="22">
        <v>0</v>
      </c>
      <c r="H233" s="22">
        <v>0</v>
      </c>
      <c r="I233" s="22">
        <v>0</v>
      </c>
      <c r="J233" s="22">
        <v>0</v>
      </c>
      <c r="K233" s="22">
        <v>0</v>
      </c>
      <c r="L233" s="22">
        <v>0</v>
      </c>
      <c r="M233" s="22">
        <v>0</v>
      </c>
      <c r="N233" s="22">
        <v>0</v>
      </c>
      <c r="O233" s="22">
        <v>0</v>
      </c>
      <c r="P233" s="22">
        <v>0</v>
      </c>
      <c r="Q233" s="22">
        <v>0</v>
      </c>
      <c r="R233" s="22">
        <v>0</v>
      </c>
      <c r="S233" s="22">
        <v>0</v>
      </c>
      <c r="T233" s="22">
        <v>0</v>
      </c>
      <c r="U233" s="22">
        <v>0</v>
      </c>
      <c r="V233" s="22">
        <v>0</v>
      </c>
      <c r="X233" s="6"/>
      <c r="Y233" s="6"/>
      <c r="Z233" s="25"/>
      <c r="AA233" s="6"/>
      <c r="AB233" s="6"/>
      <c r="AC233" s="6" t="str">
        <f t="shared" si="49"/>
        <v>Roddickton</v>
      </c>
      <c r="AD233" s="6"/>
      <c r="AE233" s="22">
        <v>0</v>
      </c>
      <c r="AF233" s="22">
        <v>0</v>
      </c>
      <c r="AG233" s="6"/>
      <c r="AH233" s="6" t="str">
        <f>+"Prorated on Roddickton Plant in Service - Sch F 2.2 L."&amp;$D$27</f>
        <v>Prorated on Roddickton Plant in Service - Sch F 2.2 L.13</v>
      </c>
      <c r="AI233" s="6"/>
    </row>
    <row r="234" spans="1:35" ht="16.5" x14ac:dyDescent="0.3">
      <c r="A234" s="28"/>
      <c r="B234" s="28"/>
      <c r="C234" s="26"/>
      <c r="D234" s="1">
        <f t="shared" si="50"/>
        <v>4</v>
      </c>
      <c r="E234" s="6" t="s">
        <v>141</v>
      </c>
      <c r="F234" s="22">
        <v>4183851.0652876822</v>
      </c>
      <c r="G234" s="22">
        <f t="shared" ref="G234:V234" si="51">(G26/$F$26)*$F234</f>
        <v>4183851.0652876822</v>
      </c>
      <c r="H234" s="22">
        <f t="shared" si="51"/>
        <v>0</v>
      </c>
      <c r="I234" s="22">
        <f t="shared" si="51"/>
        <v>0</v>
      </c>
      <c r="J234" s="22">
        <f t="shared" si="51"/>
        <v>0</v>
      </c>
      <c r="K234" s="22">
        <f t="shared" si="51"/>
        <v>0</v>
      </c>
      <c r="L234" s="22">
        <f t="shared" si="51"/>
        <v>0</v>
      </c>
      <c r="M234" s="22">
        <f t="shared" si="51"/>
        <v>0</v>
      </c>
      <c r="N234" s="22">
        <f t="shared" si="51"/>
        <v>0</v>
      </c>
      <c r="O234" s="22">
        <f t="shared" si="51"/>
        <v>0</v>
      </c>
      <c r="P234" s="22">
        <f t="shared" si="51"/>
        <v>0</v>
      </c>
      <c r="Q234" s="22">
        <f t="shared" si="51"/>
        <v>0</v>
      </c>
      <c r="R234" s="22">
        <f t="shared" si="51"/>
        <v>0</v>
      </c>
      <c r="S234" s="22">
        <f t="shared" si="51"/>
        <v>0</v>
      </c>
      <c r="T234" s="22">
        <f t="shared" si="51"/>
        <v>0</v>
      </c>
      <c r="U234" s="22">
        <f t="shared" si="51"/>
        <v>0</v>
      </c>
      <c r="V234" s="22">
        <f t="shared" si="51"/>
        <v>0</v>
      </c>
      <c r="X234" s="6"/>
      <c r="Y234" s="6"/>
      <c r="Z234" s="25"/>
      <c r="AA234" s="6"/>
      <c r="AB234" s="6"/>
      <c r="AC234" s="6" t="str">
        <f t="shared" si="49"/>
        <v>Gas Turbine</v>
      </c>
      <c r="AD234" s="6"/>
      <c r="AE234" s="22">
        <v>0</v>
      </c>
      <c r="AF234" s="22">
        <v>0</v>
      </c>
      <c r="AG234" s="6"/>
      <c r="AH234" s="6" t="str">
        <f>+"Prorated on Gas Turbines Plant in Service - Sch F 2.2 L."&amp;$D$26</f>
        <v>Prorated on Gas Turbines Plant in Service - Sch F 2.2 L.12</v>
      </c>
      <c r="AI234" s="6"/>
    </row>
    <row r="235" spans="1:35" ht="16.5" x14ac:dyDescent="0.3">
      <c r="A235" s="28"/>
      <c r="B235" s="28"/>
      <c r="C235" s="26" t="s">
        <v>39</v>
      </c>
      <c r="D235" s="1">
        <f t="shared" si="50"/>
        <v>5</v>
      </c>
      <c r="E235" s="6" t="s">
        <v>65</v>
      </c>
      <c r="F235" s="22">
        <v>322873.40899999999</v>
      </c>
      <c r="G235" s="22">
        <f t="shared" ref="G235:V235" si="52">(G28/$F$28)*$F$235</f>
        <v>322873.40899999999</v>
      </c>
      <c r="H235" s="22">
        <f t="shared" si="52"/>
        <v>0</v>
      </c>
      <c r="I235" s="22">
        <f t="shared" si="52"/>
        <v>0</v>
      </c>
      <c r="J235" s="22">
        <f t="shared" si="52"/>
        <v>0</v>
      </c>
      <c r="K235" s="22">
        <f t="shared" si="52"/>
        <v>0</v>
      </c>
      <c r="L235" s="22">
        <f t="shared" si="52"/>
        <v>0</v>
      </c>
      <c r="M235" s="22">
        <f t="shared" si="52"/>
        <v>0</v>
      </c>
      <c r="N235" s="22">
        <f t="shared" si="52"/>
        <v>0</v>
      </c>
      <c r="O235" s="22">
        <f t="shared" si="52"/>
        <v>0</v>
      </c>
      <c r="P235" s="22">
        <f t="shared" si="52"/>
        <v>0</v>
      </c>
      <c r="Q235" s="22">
        <f t="shared" si="52"/>
        <v>0</v>
      </c>
      <c r="R235" s="22">
        <f t="shared" si="52"/>
        <v>0</v>
      </c>
      <c r="S235" s="22">
        <f t="shared" si="52"/>
        <v>0</v>
      </c>
      <c r="T235" s="22">
        <f t="shared" si="52"/>
        <v>0</v>
      </c>
      <c r="U235" s="22">
        <f t="shared" si="52"/>
        <v>0</v>
      </c>
      <c r="V235" s="22">
        <f t="shared" si="52"/>
        <v>0</v>
      </c>
      <c r="X235" s="6"/>
      <c r="Y235" s="6"/>
      <c r="Z235" s="25"/>
      <c r="AA235" s="6"/>
      <c r="AB235" s="6"/>
      <c r="AC235" s="6" t="str">
        <f t="shared" si="49"/>
        <v>Diesel</v>
      </c>
      <c r="AD235" s="6"/>
      <c r="AE235" s="22">
        <v>0</v>
      </c>
      <c r="AF235" s="22">
        <v>0</v>
      </c>
      <c r="AG235" s="6"/>
      <c r="AH235" s="6" t="str">
        <f>+"Prorated on Diesel Plant in Service - Sch F 2.2 L."&amp;$D$28</f>
        <v>Prorated on Diesel Plant in Service - Sch F 2.2 L.14</v>
      </c>
      <c r="AI235" s="6"/>
    </row>
    <row r="236" spans="1:35" ht="16.5" x14ac:dyDescent="0.3">
      <c r="A236" s="28"/>
      <c r="B236" s="28"/>
      <c r="C236" s="26"/>
      <c r="D236" s="1">
        <f t="shared" si="50"/>
        <v>6</v>
      </c>
      <c r="E236" s="6" t="s">
        <v>142</v>
      </c>
      <c r="F236" s="22">
        <v>715584.40785000008</v>
      </c>
      <c r="G236" s="22">
        <f t="shared" ref="G236:V236" si="53">(G29/$F29)*$F$236</f>
        <v>468186.03675796831</v>
      </c>
      <c r="H236" s="22">
        <f t="shared" si="53"/>
        <v>247398.37109203162</v>
      </c>
      <c r="I236" s="22">
        <f t="shared" si="53"/>
        <v>0</v>
      </c>
      <c r="J236" s="22">
        <f t="shared" si="53"/>
        <v>0</v>
      </c>
      <c r="K236" s="22">
        <f t="shared" si="53"/>
        <v>0</v>
      </c>
      <c r="L236" s="22">
        <f t="shared" si="53"/>
        <v>0</v>
      </c>
      <c r="M236" s="22">
        <f t="shared" si="53"/>
        <v>0</v>
      </c>
      <c r="N236" s="22">
        <f t="shared" si="53"/>
        <v>0</v>
      </c>
      <c r="O236" s="22">
        <f t="shared" si="53"/>
        <v>0</v>
      </c>
      <c r="P236" s="22">
        <f t="shared" si="53"/>
        <v>0</v>
      </c>
      <c r="Q236" s="22">
        <f t="shared" si="53"/>
        <v>0</v>
      </c>
      <c r="R236" s="22">
        <f t="shared" si="53"/>
        <v>0</v>
      </c>
      <c r="S236" s="22">
        <f t="shared" si="53"/>
        <v>0</v>
      </c>
      <c r="T236" s="22">
        <f t="shared" si="53"/>
        <v>0</v>
      </c>
      <c r="U236" s="22">
        <f t="shared" si="53"/>
        <v>0</v>
      </c>
      <c r="V236" s="22">
        <f t="shared" si="53"/>
        <v>0</v>
      </c>
      <c r="X236" s="6"/>
      <c r="Y236" s="6"/>
      <c r="Z236" s="25"/>
      <c r="AA236" s="6"/>
      <c r="AB236" s="6"/>
      <c r="AC236" s="1" t="str">
        <f t="shared" si="49"/>
        <v>Other</v>
      </c>
      <c r="AD236" s="6"/>
      <c r="AE236" s="22">
        <v>0</v>
      </c>
      <c r="AF236" s="22">
        <v>0</v>
      </c>
      <c r="AG236" s="6"/>
      <c r="AH236" s="6" t="str">
        <f>+"Prorated on Production Plant in Service - Sch F 2.2 L."&amp;$D$29</f>
        <v>Prorated on Production Plant in Service - Sch F 2.2 L.15</v>
      </c>
      <c r="AI236" s="6"/>
    </row>
    <row r="237" spans="1:35" ht="16.5" x14ac:dyDescent="0.3">
      <c r="A237" s="28">
        <f>SUM(G237:AF237)-F237</f>
        <v>0</v>
      </c>
      <c r="B237" s="28"/>
      <c r="C237" s="29" t="s">
        <v>39</v>
      </c>
      <c r="D237" s="1">
        <f t="shared" si="50"/>
        <v>7</v>
      </c>
      <c r="E237" s="20" t="s">
        <v>66</v>
      </c>
      <c r="F237" s="30">
        <f>SUM(F231:F236)</f>
        <v>40947279.001994938</v>
      </c>
      <c r="G237" s="30">
        <f>SUM(G231:G236)</f>
        <v>30613834.364898816</v>
      </c>
      <c r="H237" s="30">
        <f>SUM(H231:H236)</f>
        <v>10333444.63709612</v>
      </c>
      <c r="I237" s="30">
        <f>SUM(I231:I236)</f>
        <v>0</v>
      </c>
      <c r="J237" s="30">
        <f t="shared" ref="J237:V237" si="54">SUM(J231:J236)</f>
        <v>0</v>
      </c>
      <c r="K237" s="30">
        <f t="shared" si="54"/>
        <v>0</v>
      </c>
      <c r="L237" s="30">
        <f t="shared" si="54"/>
        <v>0</v>
      </c>
      <c r="M237" s="30">
        <f t="shared" si="54"/>
        <v>0</v>
      </c>
      <c r="N237" s="30">
        <f t="shared" si="54"/>
        <v>0</v>
      </c>
      <c r="O237" s="30">
        <f t="shared" si="54"/>
        <v>0</v>
      </c>
      <c r="P237" s="30">
        <f t="shared" si="54"/>
        <v>0</v>
      </c>
      <c r="Q237" s="30">
        <f t="shared" si="54"/>
        <v>0</v>
      </c>
      <c r="R237" s="30">
        <f t="shared" si="54"/>
        <v>0</v>
      </c>
      <c r="S237" s="30">
        <f t="shared" si="54"/>
        <v>0</v>
      </c>
      <c r="T237" s="30">
        <f t="shared" si="54"/>
        <v>0</v>
      </c>
      <c r="U237" s="30">
        <f t="shared" si="54"/>
        <v>0</v>
      </c>
      <c r="V237" s="30">
        <f t="shared" si="54"/>
        <v>0</v>
      </c>
      <c r="X237" s="6"/>
      <c r="Y237" s="6"/>
      <c r="Z237" s="25"/>
      <c r="AA237" s="6"/>
      <c r="AB237" s="6"/>
      <c r="AC237" s="20" t="str">
        <f t="shared" si="49"/>
        <v>Subtotal Production</v>
      </c>
      <c r="AD237" s="6"/>
      <c r="AE237" s="30">
        <f>SUM(AE231:AE236)</f>
        <v>0</v>
      </c>
      <c r="AF237" s="30">
        <f>SUM(AF231:AF236)</f>
        <v>0</v>
      </c>
      <c r="AG237" s="6"/>
      <c r="AH237" s="6"/>
      <c r="AI237" s="6"/>
    </row>
    <row r="238" spans="1:35" ht="11.25" customHeight="1" x14ac:dyDescent="0.3">
      <c r="A238" s="28"/>
      <c r="B238" s="28"/>
      <c r="C238" s="26"/>
      <c r="D238" s="1"/>
      <c r="E238" s="6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X238" s="6"/>
      <c r="Y238" s="6"/>
      <c r="Z238" s="16"/>
      <c r="AA238" s="6"/>
      <c r="AB238" s="6"/>
      <c r="AC238" s="6" t="str">
        <f t="shared" si="49"/>
        <v/>
      </c>
      <c r="AD238" s="6"/>
      <c r="AE238" s="22"/>
      <c r="AF238" s="22"/>
      <c r="AG238" s="6"/>
      <c r="AH238" s="6"/>
      <c r="AI238" s="6"/>
    </row>
    <row r="239" spans="1:35" ht="16.5" x14ac:dyDescent="0.3">
      <c r="A239" s="28"/>
      <c r="B239" s="28"/>
      <c r="C239" s="26"/>
      <c r="D239" s="1"/>
      <c r="E239" s="20" t="s">
        <v>17</v>
      </c>
      <c r="F239" s="67">
        <f>SUM(F240:F241)/SUM(F242,F258)</f>
        <v>0.49307291530328817</v>
      </c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X239" s="6"/>
      <c r="Y239" s="6"/>
      <c r="Z239" s="16"/>
      <c r="AA239" s="6"/>
      <c r="AB239" s="6"/>
      <c r="AC239" s="20" t="str">
        <f t="shared" si="49"/>
        <v>Transmission</v>
      </c>
      <c r="AD239" s="6"/>
      <c r="AE239" s="22"/>
      <c r="AF239" s="22"/>
      <c r="AG239" s="6"/>
      <c r="AH239" s="6"/>
      <c r="AI239" s="6"/>
    </row>
    <row r="240" spans="1:35" ht="16.5" x14ac:dyDescent="0.3">
      <c r="A240" s="28"/>
      <c r="B240" s="28"/>
      <c r="C240" s="26" t="s">
        <v>39</v>
      </c>
      <c r="D240" s="1">
        <v>8</v>
      </c>
      <c r="E240" s="6" t="s">
        <v>143</v>
      </c>
      <c r="F240" s="22">
        <v>2078728.8285692234</v>
      </c>
      <c r="G240" s="22">
        <f>IF(IndexPlant=1,$F240*G31/$F$31,(($F240-V240)*G31/($F$31-$V$31)))</f>
        <v>54796.455093052449</v>
      </c>
      <c r="H240" s="22">
        <f>IF(IndexPlant=1,$F240*H31/F31,($F240-$V$240)*H31/($F$31-$V$31))</f>
        <v>55429.779515338058</v>
      </c>
      <c r="I240" s="22">
        <v>1662675.4615236891</v>
      </c>
      <c r="J240" s="22">
        <f>IF(IndexPlant=1,$F240*J31/$F$31,($F240-V240)*J31/($F$31-V31))</f>
        <v>305827.13243714382</v>
      </c>
      <c r="K240" s="22">
        <f t="shared" ref="K240:U240" si="55">$F240*K31/$F$31</f>
        <v>0</v>
      </c>
      <c r="L240" s="22">
        <f t="shared" si="55"/>
        <v>0</v>
      </c>
      <c r="M240" s="22">
        <f t="shared" si="55"/>
        <v>0</v>
      </c>
      <c r="N240" s="22">
        <f t="shared" si="55"/>
        <v>0</v>
      </c>
      <c r="O240" s="22">
        <f t="shared" si="55"/>
        <v>0</v>
      </c>
      <c r="P240" s="22">
        <f t="shared" si="55"/>
        <v>0</v>
      </c>
      <c r="Q240" s="22">
        <f t="shared" si="55"/>
        <v>0</v>
      </c>
      <c r="R240" s="22">
        <f t="shared" si="55"/>
        <v>0</v>
      </c>
      <c r="S240" s="22">
        <f t="shared" si="55"/>
        <v>0</v>
      </c>
      <c r="T240" s="22">
        <f t="shared" si="55"/>
        <v>0</v>
      </c>
      <c r="U240" s="22">
        <f t="shared" si="55"/>
        <v>0</v>
      </c>
      <c r="V240" s="22">
        <v>0</v>
      </c>
      <c r="X240" s="6"/>
      <c r="Y240" s="6"/>
      <c r="Z240" s="25"/>
      <c r="AA240" s="6"/>
      <c r="AB240" s="6"/>
      <c r="AC240" s="6" t="str">
        <f t="shared" si="49"/>
        <v>Transmission Lines</v>
      </c>
      <c r="AD240" s="6"/>
      <c r="AE240" s="22">
        <v>0</v>
      </c>
      <c r="AF240" s="22">
        <v>0</v>
      </c>
      <c r="AG240" s="6"/>
      <c r="AH240" s="6" t="str">
        <f>IF(IndexPlant=1,"Prorated on Transmission Lines Plant in Service - Sch F 2.2 L."&amp;$D$31&amp;" (C5 &amp; 18 then prorated on indexed plant).","Prorated on Transmission Lines Plant in Service - Sch F 2.2 L."&amp;$D$31)</f>
        <v>Prorated on Transmission Lines Plant in Service - Sch F 2.2 L.16</v>
      </c>
      <c r="AI240" s="6"/>
    </row>
    <row r="241" spans="1:35" ht="16.5" x14ac:dyDescent="0.3">
      <c r="A241" s="28"/>
      <c r="B241" s="28"/>
      <c r="C241" s="26"/>
      <c r="D241" s="1">
        <v>9</v>
      </c>
      <c r="E241" s="6" t="s">
        <v>113</v>
      </c>
      <c r="F241" s="34">
        <v>5948513.9228496226</v>
      </c>
      <c r="G241" s="34">
        <f>IF(IndexPlant=1,$F241*(G37/SUM($G$37:$V$37)),($F241-$V241)*(G37/(SUM($G$37:$V$37)-V37)))</f>
        <v>549182.54504583997</v>
      </c>
      <c r="H241" s="34">
        <f>IF(IndexPlant=1,$F241*(H37/SUM($G$37:$V$37)),($F241-$V241)*(H37/(SUM($G$37:$V$37)-V37)))</f>
        <v>386017.81969143351</v>
      </c>
      <c r="I241" s="34">
        <v>4058593.0361370519</v>
      </c>
      <c r="J241" s="34">
        <f>IF(IndexPlant=1,$F241*(J37/SUM($G$37:$V$37)),($F241-$V241)*(J37/(SUM($G$37:$V$37)-V37)))</f>
        <v>392439.1390176561</v>
      </c>
      <c r="K241" s="34">
        <f>IF(IndexPlant=1,$F241*(K37/SUM($G$37:$V$37)),($F241-$V$241)*(K37/(SUM($G$37:$V$37)-V37)))</f>
        <v>252670.19295764048</v>
      </c>
      <c r="L241" s="34">
        <f t="shared" ref="L241:U241" si="56">$F241*(L37/SUM($G$37:$V$37))</f>
        <v>0</v>
      </c>
      <c r="M241" s="34">
        <f t="shared" si="56"/>
        <v>0</v>
      </c>
      <c r="N241" s="34">
        <f t="shared" si="56"/>
        <v>0</v>
      </c>
      <c r="O241" s="34">
        <f t="shared" si="56"/>
        <v>0</v>
      </c>
      <c r="P241" s="34">
        <f t="shared" si="56"/>
        <v>0</v>
      </c>
      <c r="Q241" s="34">
        <f t="shared" si="56"/>
        <v>0</v>
      </c>
      <c r="R241" s="34">
        <f t="shared" si="56"/>
        <v>0</v>
      </c>
      <c r="S241" s="34">
        <f t="shared" si="56"/>
        <v>0</v>
      </c>
      <c r="T241" s="34">
        <f t="shared" si="56"/>
        <v>0</v>
      </c>
      <c r="U241" s="34">
        <f t="shared" si="56"/>
        <v>0</v>
      </c>
      <c r="V241" s="34">
        <v>309611.19</v>
      </c>
      <c r="X241" s="6"/>
      <c r="Y241" s="6"/>
      <c r="Z241" s="25"/>
      <c r="AA241" s="6"/>
      <c r="AB241" s="6"/>
      <c r="AC241" s="6" t="str">
        <f t="shared" si="49"/>
        <v>Terminal Stations</v>
      </c>
      <c r="AD241" s="6"/>
      <c r="AE241" s="34">
        <v>0</v>
      </c>
      <c r="AF241" s="34">
        <v>0</v>
      </c>
      <c r="AG241" s="6"/>
      <c r="AH241" s="6" t="str">
        <f>IF(IndexPlant=1,"Prorated on Terminal Stations Plant in Service - Sch F 2.2 L."&amp;$D$37&amp;" (C5 &amp; 18 then prorated on indexed plant).","Prorated on Terminal Stations Plant in Service - Sch F 2.2 L."&amp;$D$37)</f>
        <v>Prorated on Terminal Stations Plant in Service - Sch F 2.2 L.22</v>
      </c>
      <c r="AI241" s="6"/>
    </row>
    <row r="242" spans="1:35" ht="16.5" x14ac:dyDescent="0.3">
      <c r="A242" s="28"/>
      <c r="B242" s="28"/>
      <c r="C242" s="26"/>
      <c r="D242" s="1">
        <v>10</v>
      </c>
      <c r="E242" s="6" t="s">
        <v>142</v>
      </c>
      <c r="F242" s="34">
        <v>10784473.6905</v>
      </c>
      <c r="G242" s="34">
        <f>IF(IndexPlant=1,$F242*(G38/$F38),($F242-V242)*(G38/($F38-V38)))</f>
        <v>581624.26793803647</v>
      </c>
      <c r="H242" s="34">
        <f>IF(IndexPlant=1,$F242*(H38/$F38),($F242-$V242)*(H38/($F38-$V38)))</f>
        <v>460022.23991181422</v>
      </c>
      <c r="I242" s="34">
        <v>8105734.2709972691</v>
      </c>
      <c r="J242" s="34">
        <f>IF(IndexPlant=1,$F242*(J38/$F38),($F242-$V242)*(J38/($F38-$V38)))</f>
        <v>1222892.2066857864</v>
      </c>
      <c r="K242" s="34">
        <f>IF(IndexPlant=1,$F242*(K38/$F38),($F242-$V242)*(K38/($F38-V38)))</f>
        <v>191276.82703392438</v>
      </c>
      <c r="L242" s="34">
        <f t="shared" ref="L242:U242" si="57">$F242*(L38/$F38)</f>
        <v>0</v>
      </c>
      <c r="M242" s="34">
        <f t="shared" si="57"/>
        <v>0</v>
      </c>
      <c r="N242" s="34">
        <f t="shared" si="57"/>
        <v>0</v>
      </c>
      <c r="O242" s="34">
        <f t="shared" si="57"/>
        <v>0</v>
      </c>
      <c r="P242" s="34">
        <f t="shared" si="57"/>
        <v>0</v>
      </c>
      <c r="Q242" s="34">
        <f t="shared" si="57"/>
        <v>0</v>
      </c>
      <c r="R242" s="34">
        <f t="shared" si="57"/>
        <v>0</v>
      </c>
      <c r="S242" s="34">
        <f t="shared" si="57"/>
        <v>0</v>
      </c>
      <c r="T242" s="34">
        <f t="shared" si="57"/>
        <v>0</v>
      </c>
      <c r="U242" s="34">
        <f t="shared" si="57"/>
        <v>0</v>
      </c>
      <c r="V242" s="34">
        <v>222923.87793316945</v>
      </c>
      <c r="X242" s="6"/>
      <c r="Y242" s="6"/>
      <c r="Z242" s="25"/>
      <c r="AA242" s="6"/>
      <c r="AB242" s="6"/>
      <c r="AC242" s="6" t="str">
        <f t="shared" si="49"/>
        <v>Other</v>
      </c>
      <c r="AD242" s="6"/>
      <c r="AE242" s="34">
        <v>0</v>
      </c>
      <c r="AF242" s="34">
        <v>0</v>
      </c>
      <c r="AG242" s="6"/>
      <c r="AH242" s="6" t="str">
        <f>IF(IndexPlant=1,"Prorated on Transmission Plant in Service - Sch F 2.2 L."&amp;$D$38&amp;" (C5 &amp; 18 then prorated on indexed plant).","Prorated on Transmission Plant in Service - Sch F 2.2 L."&amp;$D$38)</f>
        <v>Prorated on Transmission Plant in Service - Sch F 2.2 L.23</v>
      </c>
      <c r="AI242" s="6"/>
    </row>
    <row r="243" spans="1:35" ht="16.5" x14ac:dyDescent="0.3">
      <c r="A243" s="28">
        <f>SUM(G243:AF243)-F243</f>
        <v>0</v>
      </c>
      <c r="B243" s="28"/>
      <c r="C243" s="29" t="s">
        <v>39</v>
      </c>
      <c r="D243" s="1">
        <v>11</v>
      </c>
      <c r="E243" s="20" t="s">
        <v>77</v>
      </c>
      <c r="F243" s="30">
        <f t="shared" ref="F243:V243" si="58">SUM(F240:F242)</f>
        <v>18811716.441918846</v>
      </c>
      <c r="G243" s="30">
        <f t="shared" si="58"/>
        <v>1185603.2680769288</v>
      </c>
      <c r="H243" s="30">
        <f t="shared" si="58"/>
        <v>901469.83911858581</v>
      </c>
      <c r="I243" s="30">
        <f t="shared" si="58"/>
        <v>13827002.76865801</v>
      </c>
      <c r="J243" s="30">
        <f t="shared" si="58"/>
        <v>1921158.4781405863</v>
      </c>
      <c r="K243" s="30">
        <f t="shared" si="58"/>
        <v>443947.01999156486</v>
      </c>
      <c r="L243" s="30">
        <f t="shared" si="58"/>
        <v>0</v>
      </c>
      <c r="M243" s="30">
        <f t="shared" si="58"/>
        <v>0</v>
      </c>
      <c r="N243" s="30">
        <f t="shared" si="58"/>
        <v>0</v>
      </c>
      <c r="O243" s="30">
        <f t="shared" si="58"/>
        <v>0</v>
      </c>
      <c r="P243" s="30">
        <f t="shared" si="58"/>
        <v>0</v>
      </c>
      <c r="Q243" s="30">
        <f t="shared" si="58"/>
        <v>0</v>
      </c>
      <c r="R243" s="30">
        <f t="shared" si="58"/>
        <v>0</v>
      </c>
      <c r="S243" s="30">
        <f t="shared" si="58"/>
        <v>0</v>
      </c>
      <c r="T243" s="30">
        <f t="shared" si="58"/>
        <v>0</v>
      </c>
      <c r="U243" s="30">
        <f t="shared" si="58"/>
        <v>0</v>
      </c>
      <c r="V243" s="30">
        <f t="shared" si="58"/>
        <v>532535.06793316943</v>
      </c>
      <c r="W243" s="68"/>
      <c r="X243" s="6"/>
      <c r="Y243" s="6"/>
      <c r="Z243" s="25"/>
      <c r="AA243" s="6"/>
      <c r="AB243" s="6"/>
      <c r="AC243" s="20" t="str">
        <f t="shared" si="49"/>
        <v>Subtotal Transmission</v>
      </c>
      <c r="AD243" s="6"/>
      <c r="AE243" s="30">
        <f>SUM(AE240:AE242)</f>
        <v>0</v>
      </c>
      <c r="AF243" s="30">
        <f>SUM(AF240:AF242)</f>
        <v>0</v>
      </c>
      <c r="AG243" s="6"/>
      <c r="AH243" s="6"/>
      <c r="AI243" s="6"/>
    </row>
    <row r="244" spans="1:35" ht="10.5" customHeight="1" x14ac:dyDescent="0.3">
      <c r="A244" s="28"/>
      <c r="B244" s="28"/>
      <c r="C244" s="26"/>
      <c r="D244" s="1"/>
      <c r="E244" s="6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X244" s="6"/>
      <c r="Y244" s="6"/>
      <c r="Z244" s="16"/>
      <c r="AA244" s="6"/>
      <c r="AB244" s="6"/>
      <c r="AC244" s="6" t="str">
        <f t="shared" si="49"/>
        <v/>
      </c>
      <c r="AD244" s="6"/>
      <c r="AE244" s="22"/>
      <c r="AF244" s="22"/>
      <c r="AG244" s="6"/>
      <c r="AH244" s="6"/>
      <c r="AI244" s="6"/>
    </row>
    <row r="245" spans="1:35" ht="16.5" x14ac:dyDescent="0.3">
      <c r="A245" s="28"/>
      <c r="B245" s="28"/>
      <c r="C245" s="26"/>
      <c r="D245" s="1"/>
      <c r="E245" s="20" t="s">
        <v>9</v>
      </c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X245" s="6"/>
      <c r="Y245" s="6"/>
      <c r="Z245" s="16"/>
      <c r="AA245" s="6"/>
      <c r="AB245" s="6"/>
      <c r="AC245" s="20" t="str">
        <f t="shared" si="49"/>
        <v>Distribution</v>
      </c>
      <c r="AD245" s="6"/>
      <c r="AE245" s="22"/>
      <c r="AF245" s="22"/>
      <c r="AG245" s="6"/>
      <c r="AH245" s="6"/>
      <c r="AI245" s="6"/>
    </row>
    <row r="246" spans="1:35" ht="16.5" x14ac:dyDescent="0.3">
      <c r="A246" s="28"/>
      <c r="B246" s="26" t="s">
        <v>144</v>
      </c>
      <c r="C246" s="19"/>
      <c r="D246" s="1">
        <v>12</v>
      </c>
      <c r="E246" s="6" t="s">
        <v>142</v>
      </c>
      <c r="F246" s="22">
        <v>5483070.8842081726</v>
      </c>
      <c r="G246" s="22">
        <f t="shared" ref="G246:V246" si="59">$F246*VLOOKUP($B246,RatiosIslInt,G$561,FALSE)</f>
        <v>0</v>
      </c>
      <c r="H246" s="22">
        <f t="shared" si="59"/>
        <v>0</v>
      </c>
      <c r="I246" s="22">
        <f t="shared" si="59"/>
        <v>0</v>
      </c>
      <c r="J246" s="22">
        <f t="shared" si="59"/>
        <v>0</v>
      </c>
      <c r="K246" s="22">
        <f t="shared" si="59"/>
        <v>848422.75454189931</v>
      </c>
      <c r="L246" s="22">
        <f t="shared" si="59"/>
        <v>2437396.570599352</v>
      </c>
      <c r="M246" s="22">
        <f t="shared" si="59"/>
        <v>664962.83444098651</v>
      </c>
      <c r="N246" s="22">
        <f t="shared" si="59"/>
        <v>203250.42400880583</v>
      </c>
      <c r="O246" s="22">
        <f t="shared" si="59"/>
        <v>359770.14111253998</v>
      </c>
      <c r="P246" s="22">
        <f t="shared" si="59"/>
        <v>352146.03198850289</v>
      </c>
      <c r="Q246" s="22">
        <f t="shared" si="59"/>
        <v>399627.63988527434</v>
      </c>
      <c r="R246" s="22">
        <f t="shared" si="59"/>
        <v>117356.9291259383</v>
      </c>
      <c r="S246" s="22">
        <f t="shared" si="59"/>
        <v>0</v>
      </c>
      <c r="T246" s="22">
        <f t="shared" si="59"/>
        <v>100137.55850487451</v>
      </c>
      <c r="U246" s="22">
        <f t="shared" si="59"/>
        <v>0</v>
      </c>
      <c r="V246" s="22">
        <f t="shared" si="59"/>
        <v>0</v>
      </c>
      <c r="X246" s="6"/>
      <c r="Y246" s="6"/>
      <c r="Z246" s="25"/>
      <c r="AA246" s="6"/>
      <c r="AB246" s="6"/>
      <c r="AC246" s="6" t="str">
        <f t="shared" si="49"/>
        <v>Other</v>
      </c>
      <c r="AD246" s="6"/>
      <c r="AE246" s="22">
        <v>0</v>
      </c>
      <c r="AF246" s="22">
        <v>0</v>
      </c>
      <c r="AG246" s="6"/>
      <c r="AH246" s="6" t="str">
        <f>+"Prorated on Distribution Plant, excluding Meters - Sch F  2.2 L. "&amp;D50&amp;", less L. "&amp;D48</f>
        <v>Prorated on Distribution Plant, excluding Meters - Sch F  2.2 L. 34, less L. 32</v>
      </c>
      <c r="AI246" s="6"/>
    </row>
    <row r="247" spans="1:35" ht="16.5" x14ac:dyDescent="0.3">
      <c r="A247" s="28"/>
      <c r="B247" s="28"/>
      <c r="C247" s="26" t="s">
        <v>39</v>
      </c>
      <c r="D247" s="1">
        <v>13</v>
      </c>
      <c r="E247" s="6" t="s">
        <v>23</v>
      </c>
      <c r="F247" s="34">
        <v>359492.54166945285</v>
      </c>
      <c r="G247" s="34">
        <v>0</v>
      </c>
      <c r="H247" s="34">
        <v>0</v>
      </c>
      <c r="I247" s="34">
        <v>0</v>
      </c>
      <c r="J247" s="34">
        <v>0</v>
      </c>
      <c r="K247" s="34">
        <v>0</v>
      </c>
      <c r="L247" s="34">
        <v>0</v>
      </c>
      <c r="M247" s="34">
        <v>0</v>
      </c>
      <c r="N247" s="34">
        <v>0</v>
      </c>
      <c r="O247" s="34">
        <v>0</v>
      </c>
      <c r="P247" s="34">
        <v>0</v>
      </c>
      <c r="Q247" s="34">
        <v>0</v>
      </c>
      <c r="R247" s="34">
        <v>0</v>
      </c>
      <c r="S247" s="34">
        <v>359492.54166945285</v>
      </c>
      <c r="T247" s="34">
        <v>0</v>
      </c>
      <c r="U247" s="34">
        <v>0</v>
      </c>
      <c r="V247" s="34">
        <v>0</v>
      </c>
      <c r="X247" s="6"/>
      <c r="Y247" s="6"/>
      <c r="Z247" s="25"/>
      <c r="AA247" s="6"/>
      <c r="AB247" s="6"/>
      <c r="AC247" s="6" t="str">
        <f t="shared" si="49"/>
        <v>Meters</v>
      </c>
      <c r="AD247" s="6"/>
      <c r="AE247" s="34">
        <v>0</v>
      </c>
      <c r="AF247" s="34">
        <v>0</v>
      </c>
      <c r="AG247" s="6"/>
      <c r="AH247" s="6" t="s">
        <v>88</v>
      </c>
      <c r="AI247" s="6"/>
    </row>
    <row r="248" spans="1:35" ht="16.5" x14ac:dyDescent="0.3">
      <c r="A248" s="28">
        <f>SUM(G248:AF248)-F248</f>
        <v>0</v>
      </c>
      <c r="B248" s="28"/>
      <c r="C248" s="29" t="s">
        <v>39</v>
      </c>
      <c r="D248" s="1">
        <v>14</v>
      </c>
      <c r="E248" s="20" t="s">
        <v>90</v>
      </c>
      <c r="F248" s="30">
        <f>SUM(F246:F247)</f>
        <v>5842563.4258776251</v>
      </c>
      <c r="G248" s="30">
        <f>SUM(G246:G247)</f>
        <v>0</v>
      </c>
      <c r="H248" s="30">
        <f>SUM(H246:H247)</f>
        <v>0</v>
      </c>
      <c r="I248" s="30">
        <f>SUM(I246:I247)</f>
        <v>0</v>
      </c>
      <c r="J248" s="30">
        <f t="shared" ref="J248:V248" si="60">SUM(J246:J247)</f>
        <v>0</v>
      </c>
      <c r="K248" s="30">
        <f t="shared" si="60"/>
        <v>848422.75454189931</v>
      </c>
      <c r="L248" s="30">
        <f t="shared" si="60"/>
        <v>2437396.570599352</v>
      </c>
      <c r="M248" s="30">
        <f t="shared" si="60"/>
        <v>664962.83444098651</v>
      </c>
      <c r="N248" s="30">
        <f t="shared" si="60"/>
        <v>203250.42400880583</v>
      </c>
      <c r="O248" s="30">
        <f t="shared" si="60"/>
        <v>359770.14111253998</v>
      </c>
      <c r="P248" s="30">
        <f t="shared" si="60"/>
        <v>352146.03198850289</v>
      </c>
      <c r="Q248" s="30">
        <f t="shared" si="60"/>
        <v>399627.63988527434</v>
      </c>
      <c r="R248" s="30">
        <f t="shared" si="60"/>
        <v>117356.9291259383</v>
      </c>
      <c r="S248" s="30">
        <f t="shared" si="60"/>
        <v>359492.54166945285</v>
      </c>
      <c r="T248" s="30">
        <f t="shared" si="60"/>
        <v>100137.55850487451</v>
      </c>
      <c r="U248" s="30">
        <f t="shared" si="60"/>
        <v>0</v>
      </c>
      <c r="V248" s="30">
        <f t="shared" si="60"/>
        <v>0</v>
      </c>
      <c r="X248" s="6"/>
      <c r="Y248" s="6"/>
      <c r="Z248" s="25"/>
      <c r="AA248" s="6"/>
      <c r="AB248" s="6"/>
      <c r="AC248" s="20" t="str">
        <f t="shared" si="49"/>
        <v>Subtotal Distribution</v>
      </c>
      <c r="AD248" s="6"/>
      <c r="AE248" s="30">
        <f>SUM(AE246:AE247)</f>
        <v>0</v>
      </c>
      <c r="AF248" s="30">
        <f>SUM(AF246:AF247)</f>
        <v>0</v>
      </c>
      <c r="AG248" s="6"/>
      <c r="AH248" s="6"/>
      <c r="AI248" s="6"/>
    </row>
    <row r="249" spans="1:35" ht="10.5" customHeight="1" x14ac:dyDescent="0.3">
      <c r="A249" s="28"/>
      <c r="B249" s="28"/>
      <c r="C249" s="26"/>
      <c r="D249" s="1"/>
      <c r="E249" s="6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X249" s="6"/>
      <c r="Y249" s="6"/>
      <c r="Z249" s="16"/>
      <c r="AA249" s="6"/>
      <c r="AB249" s="6"/>
      <c r="AC249" s="6" t="str">
        <f t="shared" si="49"/>
        <v/>
      </c>
      <c r="AD249" s="6"/>
      <c r="AE249" s="34"/>
      <c r="AF249" s="34"/>
      <c r="AG249" s="6"/>
      <c r="AH249" s="6"/>
      <c r="AI249" s="6"/>
    </row>
    <row r="250" spans="1:35" ht="16.5" x14ac:dyDescent="0.3">
      <c r="A250" s="28">
        <f>SUM(G250:AF250)-F250</f>
        <v>0</v>
      </c>
      <c r="B250" s="28"/>
      <c r="C250" s="29" t="s">
        <v>39</v>
      </c>
      <c r="D250" s="1">
        <v>15</v>
      </c>
      <c r="E250" s="39" t="s">
        <v>91</v>
      </c>
      <c r="F250" s="69">
        <f t="shared" ref="F250:V250" si="61">SUM(F248,F243,F237)</f>
        <v>65601558.869791411</v>
      </c>
      <c r="G250" s="69">
        <f t="shared" si="61"/>
        <v>31799437.632975746</v>
      </c>
      <c r="H250" s="69">
        <f t="shared" si="61"/>
        <v>11234914.476214705</v>
      </c>
      <c r="I250" s="69">
        <f t="shared" si="61"/>
        <v>13827002.76865801</v>
      </c>
      <c r="J250" s="69">
        <f t="shared" si="61"/>
        <v>1921158.4781405863</v>
      </c>
      <c r="K250" s="69">
        <f t="shared" si="61"/>
        <v>1292369.7745334641</v>
      </c>
      <c r="L250" s="69">
        <f t="shared" si="61"/>
        <v>2437396.570599352</v>
      </c>
      <c r="M250" s="69">
        <f t="shared" si="61"/>
        <v>664962.83444098651</v>
      </c>
      <c r="N250" s="69">
        <f t="shared" si="61"/>
        <v>203250.42400880583</v>
      </c>
      <c r="O250" s="69">
        <f t="shared" si="61"/>
        <v>359770.14111253998</v>
      </c>
      <c r="P250" s="69">
        <f t="shared" si="61"/>
        <v>352146.03198850289</v>
      </c>
      <c r="Q250" s="69">
        <f t="shared" si="61"/>
        <v>399627.63988527434</v>
      </c>
      <c r="R250" s="69">
        <f t="shared" si="61"/>
        <v>117356.9291259383</v>
      </c>
      <c r="S250" s="69">
        <f t="shared" si="61"/>
        <v>359492.54166945285</v>
      </c>
      <c r="T250" s="69">
        <f t="shared" si="61"/>
        <v>100137.55850487451</v>
      </c>
      <c r="U250" s="69">
        <f t="shared" si="61"/>
        <v>0</v>
      </c>
      <c r="V250" s="69">
        <f t="shared" si="61"/>
        <v>532535.06793316943</v>
      </c>
      <c r="X250" s="6"/>
      <c r="Y250" s="6"/>
      <c r="Z250" s="25"/>
      <c r="AA250" s="6"/>
      <c r="AB250" s="6"/>
      <c r="AC250" s="39" t="str">
        <f t="shared" si="49"/>
        <v>Subttl Prod, Trans, &amp; Dist</v>
      </c>
      <c r="AD250" s="36"/>
      <c r="AE250" s="69">
        <f>SUM(AE248,AE243,AE237)</f>
        <v>0</v>
      </c>
      <c r="AF250" s="69">
        <f>SUM(AF248,AF243,AF237)</f>
        <v>0</v>
      </c>
      <c r="AG250" s="6"/>
      <c r="AH250" s="6"/>
      <c r="AI250" s="6"/>
    </row>
    <row r="251" spans="1:35" ht="13.5" customHeight="1" x14ac:dyDescent="0.3">
      <c r="A251" s="28"/>
      <c r="B251" s="28"/>
      <c r="C251" s="26"/>
      <c r="D251" s="1"/>
      <c r="E251" s="6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X251" s="6"/>
      <c r="Y251" s="6"/>
      <c r="Z251" s="16"/>
      <c r="AA251" s="6"/>
      <c r="AB251" s="6"/>
      <c r="AC251" s="6" t="str">
        <f t="shared" si="49"/>
        <v/>
      </c>
      <c r="AD251" s="6"/>
      <c r="AE251" s="22"/>
      <c r="AF251" s="22"/>
      <c r="AG251" s="6"/>
      <c r="AH251" s="6"/>
      <c r="AI251" s="6"/>
    </row>
    <row r="252" spans="1:35" ht="16.5" x14ac:dyDescent="0.3">
      <c r="A252" s="28"/>
      <c r="B252" s="28"/>
      <c r="C252" s="26" t="s">
        <v>39</v>
      </c>
      <c r="D252" s="1">
        <v>16</v>
      </c>
      <c r="E252" s="6" t="s">
        <v>145</v>
      </c>
      <c r="F252" s="22">
        <v>2188530.0506533072</v>
      </c>
      <c r="G252" s="22">
        <v>0</v>
      </c>
      <c r="H252" s="22">
        <v>0</v>
      </c>
      <c r="I252" s="22">
        <v>0</v>
      </c>
      <c r="J252" s="22">
        <v>0</v>
      </c>
      <c r="K252" s="22">
        <v>0</v>
      </c>
      <c r="L252" s="22">
        <v>0</v>
      </c>
      <c r="M252" s="22">
        <v>0</v>
      </c>
      <c r="N252" s="22">
        <v>0</v>
      </c>
      <c r="O252" s="22">
        <v>0</v>
      </c>
      <c r="P252" s="22">
        <v>0</v>
      </c>
      <c r="Q252" s="22">
        <v>0</v>
      </c>
      <c r="R252" s="22">
        <v>0</v>
      </c>
      <c r="S252" s="22">
        <v>0</v>
      </c>
      <c r="T252" s="22">
        <v>0</v>
      </c>
      <c r="U252" s="22">
        <v>2188530.0506533072</v>
      </c>
      <c r="V252" s="22">
        <v>0</v>
      </c>
      <c r="X252" s="6"/>
      <c r="Y252" s="6"/>
      <c r="Z252" s="25"/>
      <c r="AA252" s="6"/>
      <c r="AB252" s="6"/>
      <c r="AC252" s="6" t="str">
        <f t="shared" si="49"/>
        <v>Customer Accounting</v>
      </c>
      <c r="AD252" s="6"/>
      <c r="AE252" s="22">
        <v>0</v>
      </c>
      <c r="AF252" s="22">
        <v>0</v>
      </c>
      <c r="AG252" s="6"/>
      <c r="AH252" s="6" t="s">
        <v>146</v>
      </c>
      <c r="AI252" s="6"/>
    </row>
    <row r="253" spans="1:35" ht="13.5" customHeight="1" x14ac:dyDescent="0.3">
      <c r="A253" s="28"/>
      <c r="B253" s="28"/>
      <c r="C253" s="26"/>
      <c r="D253" s="1"/>
      <c r="E253" s="6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X253" s="6"/>
      <c r="Y253" s="6"/>
      <c r="Z253" s="16"/>
      <c r="AA253" s="6"/>
      <c r="AB253" s="6"/>
      <c r="AC253" s="6" t="str">
        <f t="shared" si="49"/>
        <v/>
      </c>
      <c r="AD253" s="6"/>
      <c r="AE253" s="22"/>
      <c r="AF253" s="22"/>
      <c r="AG253" s="6"/>
      <c r="AH253" s="6"/>
      <c r="AI253" s="6"/>
    </row>
    <row r="254" spans="1:35" ht="16.5" x14ac:dyDescent="0.3">
      <c r="A254" s="28"/>
      <c r="B254" s="28"/>
      <c r="C254" s="26"/>
      <c r="D254" s="1"/>
      <c r="E254" s="21" t="s">
        <v>147</v>
      </c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X254" s="6"/>
      <c r="Y254" s="6"/>
      <c r="Z254" s="16"/>
      <c r="AA254" s="6"/>
      <c r="AB254" s="6"/>
      <c r="AC254" s="21" t="str">
        <f t="shared" si="49"/>
        <v>Administrative &amp; General:</v>
      </c>
      <c r="AD254" s="17"/>
      <c r="AE254" s="22"/>
      <c r="AF254" s="22"/>
      <c r="AG254" s="6"/>
      <c r="AH254" s="6"/>
      <c r="AI254" s="6"/>
    </row>
    <row r="255" spans="1:35" ht="16.5" x14ac:dyDescent="0.3">
      <c r="A255" s="28"/>
      <c r="B255" s="28"/>
      <c r="C255" s="26" t="s">
        <v>39</v>
      </c>
      <c r="D255" s="1"/>
      <c r="E255" s="17" t="s">
        <v>148</v>
      </c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X255" s="6"/>
      <c r="Y255" s="6"/>
      <c r="Z255" s="16"/>
      <c r="AA255" s="6"/>
      <c r="AB255" s="6"/>
      <c r="AC255" s="17" t="str">
        <f t="shared" si="49"/>
        <v>Plant-Related:</v>
      </c>
      <c r="AD255" s="17"/>
      <c r="AE255" s="22"/>
      <c r="AF255" s="22"/>
      <c r="AG255" s="6"/>
      <c r="AH255" s="6"/>
      <c r="AI255" s="6"/>
    </row>
    <row r="256" spans="1:35" ht="16.5" x14ac:dyDescent="0.3">
      <c r="A256" s="28"/>
      <c r="B256" s="28"/>
      <c r="C256" s="26"/>
      <c r="D256" s="1">
        <v>17</v>
      </c>
      <c r="E256" s="70" t="s">
        <v>16</v>
      </c>
      <c r="F256" s="22">
        <v>7256926</v>
      </c>
      <c r="G256" s="22">
        <f>IF($F$29&lt;&gt;0,$F256*(G29/$F$29),0)</f>
        <v>4747995.324819955</v>
      </c>
      <c r="H256" s="22">
        <f t="shared" ref="H256:V256" si="62">IF($F$29&lt;&gt;0,$F256*(H29/$F$29),0)</f>
        <v>2508930.675180044</v>
      </c>
      <c r="I256" s="22">
        <f t="shared" si="62"/>
        <v>0</v>
      </c>
      <c r="J256" s="22">
        <f t="shared" si="62"/>
        <v>0</v>
      </c>
      <c r="K256" s="22">
        <f t="shared" si="62"/>
        <v>0</v>
      </c>
      <c r="L256" s="22">
        <f t="shared" si="62"/>
        <v>0</v>
      </c>
      <c r="M256" s="22">
        <f t="shared" si="62"/>
        <v>0</v>
      </c>
      <c r="N256" s="22">
        <f t="shared" si="62"/>
        <v>0</v>
      </c>
      <c r="O256" s="22">
        <f t="shared" si="62"/>
        <v>0</v>
      </c>
      <c r="P256" s="22">
        <f t="shared" si="62"/>
        <v>0</v>
      </c>
      <c r="Q256" s="22">
        <f t="shared" si="62"/>
        <v>0</v>
      </c>
      <c r="R256" s="22">
        <f t="shared" si="62"/>
        <v>0</v>
      </c>
      <c r="S256" s="22">
        <f t="shared" si="62"/>
        <v>0</v>
      </c>
      <c r="T256" s="22">
        <f t="shared" si="62"/>
        <v>0</v>
      </c>
      <c r="U256" s="22">
        <f t="shared" si="62"/>
        <v>0</v>
      </c>
      <c r="V256" s="22">
        <f t="shared" si="62"/>
        <v>0</v>
      </c>
      <c r="X256" s="6"/>
      <c r="Y256" s="6"/>
      <c r="Z256" s="25"/>
      <c r="AA256" s="6"/>
      <c r="AB256" s="6"/>
      <c r="AC256" s="70" t="str">
        <f t="shared" si="49"/>
        <v>Production</v>
      </c>
      <c r="AD256" s="71"/>
      <c r="AE256" s="22">
        <v>0</v>
      </c>
      <c r="AF256" s="22">
        <v>0</v>
      </c>
      <c r="AG256" s="6"/>
      <c r="AH256" s="6" t="str">
        <f>+"Prorated on Production Plant in Service - Sch F 2.2 L."&amp;$D$29</f>
        <v>Prorated on Production Plant in Service - Sch F 2.2 L.15</v>
      </c>
      <c r="AI256" s="6"/>
    </row>
    <row r="257" spans="1:35" ht="16.5" x14ac:dyDescent="0.3">
      <c r="A257" s="28"/>
      <c r="B257" s="28"/>
      <c r="C257" s="26"/>
      <c r="D257" s="1">
        <f t="shared" ref="D257:D263" si="63">MAX(D254:D256)+NoOne</f>
        <v>18</v>
      </c>
      <c r="E257" s="72" t="s">
        <v>149</v>
      </c>
      <c r="F257" s="22">
        <v>2043181.9965099997</v>
      </c>
      <c r="G257" s="22">
        <f t="shared" ref="G257:V257" si="64">($F$257*((G26+G28)/($F$26+$F$28)))</f>
        <v>2043181.9965099997</v>
      </c>
      <c r="H257" s="22">
        <f t="shared" si="64"/>
        <v>0</v>
      </c>
      <c r="I257" s="22">
        <f t="shared" si="64"/>
        <v>0</v>
      </c>
      <c r="J257" s="22">
        <f t="shared" si="64"/>
        <v>0</v>
      </c>
      <c r="K257" s="22">
        <f t="shared" si="64"/>
        <v>0</v>
      </c>
      <c r="L257" s="22">
        <f t="shared" si="64"/>
        <v>0</v>
      </c>
      <c r="M257" s="22">
        <f t="shared" si="64"/>
        <v>0</v>
      </c>
      <c r="N257" s="22">
        <f t="shared" si="64"/>
        <v>0</v>
      </c>
      <c r="O257" s="22">
        <f t="shared" si="64"/>
        <v>0</v>
      </c>
      <c r="P257" s="22">
        <f t="shared" si="64"/>
        <v>0</v>
      </c>
      <c r="Q257" s="22">
        <f t="shared" si="64"/>
        <v>0</v>
      </c>
      <c r="R257" s="22">
        <f t="shared" si="64"/>
        <v>0</v>
      </c>
      <c r="S257" s="22">
        <f t="shared" si="64"/>
        <v>0</v>
      </c>
      <c r="T257" s="22">
        <f t="shared" si="64"/>
        <v>0</v>
      </c>
      <c r="U257" s="22">
        <f t="shared" si="64"/>
        <v>0</v>
      </c>
      <c r="V257" s="22">
        <f t="shared" si="64"/>
        <v>0</v>
      </c>
      <c r="X257" s="6"/>
      <c r="Y257" s="6"/>
      <c r="Z257" s="25"/>
      <c r="AA257" s="6"/>
      <c r="AB257" s="6"/>
      <c r="AC257" s="70" t="str">
        <f t="shared" si="49"/>
        <v>Prod - Gas Turb &amp; Diesel</v>
      </c>
      <c r="AD257" s="71"/>
      <c r="AE257" s="22"/>
      <c r="AF257" s="22">
        <v>0</v>
      </c>
      <c r="AG257" s="6"/>
      <c r="AH257" s="6" t="str">
        <f>+"Prorated on Gas Turbine &amp; Diesel Production Plant in Service - Sch F 2.2 L."&amp;$D$26&amp;", " &amp;$D$28</f>
        <v>Prorated on Gas Turbine &amp; Diesel Production Plant in Service - Sch F 2.2 L.12, 14</v>
      </c>
      <c r="AI257" s="6"/>
    </row>
    <row r="258" spans="1:35" ht="16.5" x14ac:dyDescent="0.3">
      <c r="A258" s="28"/>
      <c r="B258" s="28"/>
      <c r="C258" s="73"/>
      <c r="D258" s="1">
        <f t="shared" si="63"/>
        <v>19</v>
      </c>
      <c r="E258" s="70" t="s">
        <v>150</v>
      </c>
      <c r="F258" s="22">
        <v>5495558.130921999</v>
      </c>
      <c r="G258" s="22">
        <f>IF(IndexPlant=1,IF($F$38&lt;&gt;0,$F258*(G38/$F$38),0),IF($F$38&lt;&gt;0,($F258-V258)*((G38/($F$38-V38))),0))</f>
        <v>302640.24045080983</v>
      </c>
      <c r="H258" s="22">
        <f>IF(IndexPlant=1,IF($F$38&lt;&gt;0,$F258*(H38/$F$38),0),IF($F$38&lt;&gt;0,($F258-V258)*(H38/($F$38-V38)),0))</f>
        <v>239366.286749341</v>
      </c>
      <c r="I258" s="22">
        <v>4217708.070369456</v>
      </c>
      <c r="J258" s="22">
        <f>IF(IndexPlant=1,IF($F$38&lt;&gt;0,$F258*(J38/$F$38),0),IF($F$38&lt;&gt;0,($F258-V258)*(J38/($F$38-V38))))</f>
        <v>636315.25003051665</v>
      </c>
      <c r="K258" s="22">
        <f>IF(IndexPlant=1,IF($F$38&lt;&gt;0,$F258*(K38/$F$38),0),IF($F$38&lt;&gt;0,($F258-V258)*(K38/($F$38-V38))))</f>
        <v>99528.283321874682</v>
      </c>
      <c r="L258" s="22">
        <f t="shared" ref="L258:U258" si="65">IF($F$38&lt;&gt;0,$F258*(L38/$F$38),0)</f>
        <v>0</v>
      </c>
      <c r="M258" s="22">
        <f t="shared" si="65"/>
        <v>0</v>
      </c>
      <c r="N258" s="22">
        <f t="shared" si="65"/>
        <v>0</v>
      </c>
      <c r="O258" s="22">
        <f t="shared" si="65"/>
        <v>0</v>
      </c>
      <c r="P258" s="22">
        <f t="shared" si="65"/>
        <v>0</v>
      </c>
      <c r="Q258" s="22">
        <f t="shared" si="65"/>
        <v>0</v>
      </c>
      <c r="R258" s="22">
        <f t="shared" si="65"/>
        <v>0</v>
      </c>
      <c r="S258" s="22">
        <f t="shared" si="65"/>
        <v>0</v>
      </c>
      <c r="T258" s="22">
        <f t="shared" si="65"/>
        <v>0</v>
      </c>
      <c r="U258" s="22">
        <f t="shared" si="65"/>
        <v>0</v>
      </c>
      <c r="V258" s="22">
        <v>0</v>
      </c>
      <c r="X258" s="6"/>
      <c r="Y258" s="6"/>
      <c r="Z258" s="25"/>
      <c r="AA258" s="6"/>
      <c r="AB258" s="6"/>
      <c r="AC258" s="70" t="str">
        <f t="shared" si="49"/>
        <v xml:space="preserve">Transmission  </v>
      </c>
      <c r="AD258" s="71"/>
      <c r="AE258" s="22">
        <v>0</v>
      </c>
      <c r="AF258" s="22">
        <v>0</v>
      </c>
      <c r="AG258" s="6"/>
      <c r="AH258" s="6" t="str">
        <f>IF(IndexPlant=1,"Prorated on Transmission Plant in Service - Sch F 2.2 L."&amp;$D$38&amp;" (C5 &amp; 18 then prorated on indexed plant).","Prorated on Transmission Plant in Service - Sch F 2.2 L."&amp;$D$38)</f>
        <v>Prorated on Transmission Plant in Service - Sch F 2.2 L.23</v>
      </c>
      <c r="AI258" s="6"/>
    </row>
    <row r="259" spans="1:35" ht="16.5" x14ac:dyDescent="0.3">
      <c r="A259" s="28"/>
      <c r="B259" s="28"/>
      <c r="C259" s="73"/>
      <c r="D259" s="1">
        <f t="shared" si="63"/>
        <v>20</v>
      </c>
      <c r="E259" s="70" t="s">
        <v>151</v>
      </c>
      <c r="F259" s="22">
        <v>2747806.3904679995</v>
      </c>
      <c r="G259" s="22">
        <f t="shared" ref="G259:V259" si="66">IF($F$50&lt;&gt;0,$F259*(G50/$F$50),0)</f>
        <v>0</v>
      </c>
      <c r="H259" s="22">
        <f t="shared" si="66"/>
        <v>0</v>
      </c>
      <c r="I259" s="22">
        <f t="shared" si="66"/>
        <v>0</v>
      </c>
      <c r="J259" s="22">
        <f t="shared" si="66"/>
        <v>0</v>
      </c>
      <c r="K259" s="22">
        <f t="shared" si="66"/>
        <v>411232.36825881305</v>
      </c>
      <c r="L259" s="22">
        <f t="shared" si="66"/>
        <v>1181411.4587894171</v>
      </c>
      <c r="M259" s="22">
        <f t="shared" si="66"/>
        <v>322308.94297372998</v>
      </c>
      <c r="N259" s="22">
        <f t="shared" si="66"/>
        <v>98515.925895786888</v>
      </c>
      <c r="O259" s="22">
        <f t="shared" si="66"/>
        <v>174381.3757545923</v>
      </c>
      <c r="P259" s="22">
        <f t="shared" si="66"/>
        <v>170685.95335560886</v>
      </c>
      <c r="Q259" s="22">
        <f t="shared" si="66"/>
        <v>193700.392748702</v>
      </c>
      <c r="R259" s="22">
        <f t="shared" si="66"/>
        <v>56883.160709308766</v>
      </c>
      <c r="S259" s="22">
        <f t="shared" si="66"/>
        <v>90149.917945235138</v>
      </c>
      <c r="T259" s="22">
        <f t="shared" si="66"/>
        <v>48536.89403680573</v>
      </c>
      <c r="U259" s="22">
        <f t="shared" si="66"/>
        <v>0</v>
      </c>
      <c r="V259" s="22">
        <f t="shared" si="66"/>
        <v>0</v>
      </c>
      <c r="X259" s="6"/>
      <c r="Y259" s="6"/>
      <c r="Z259" s="25"/>
      <c r="AA259" s="6"/>
      <c r="AB259" s="6"/>
      <c r="AC259" s="70" t="str">
        <f t="shared" si="49"/>
        <v xml:space="preserve">Distribution  </v>
      </c>
      <c r="AD259" s="71"/>
      <c r="AE259" s="22">
        <v>0</v>
      </c>
      <c r="AF259" s="22">
        <v>0</v>
      </c>
      <c r="AG259" s="6"/>
      <c r="AH259" s="6" t="str">
        <f>+"Prorated on Distribution Plant in Service - Sch F 2.2 L."&amp;$D$50</f>
        <v>Prorated on Distribution Plant in Service - Sch F 2.2 L.34</v>
      </c>
      <c r="AI259" s="6"/>
    </row>
    <row r="260" spans="1:35" ht="16.5" x14ac:dyDescent="0.3">
      <c r="A260" s="28"/>
      <c r="B260" s="28"/>
      <c r="C260" s="73"/>
      <c r="D260" s="1">
        <f t="shared" si="63"/>
        <v>21</v>
      </c>
      <c r="E260" s="72" t="s">
        <v>152</v>
      </c>
      <c r="F260" s="22">
        <v>0</v>
      </c>
      <c r="G260" s="22">
        <f t="shared" ref="G260:V260" si="67">IF($F$51&lt;&gt;0,$F260*(G51/$F$51),0)</f>
        <v>0</v>
      </c>
      <c r="H260" s="22">
        <f t="shared" si="67"/>
        <v>0</v>
      </c>
      <c r="I260" s="22">
        <f t="shared" si="67"/>
        <v>0</v>
      </c>
      <c r="J260" s="22">
        <f t="shared" si="67"/>
        <v>0</v>
      </c>
      <c r="K260" s="22">
        <f t="shared" si="67"/>
        <v>0</v>
      </c>
      <c r="L260" s="22">
        <f t="shared" si="67"/>
        <v>0</v>
      </c>
      <c r="M260" s="22">
        <f t="shared" si="67"/>
        <v>0</v>
      </c>
      <c r="N260" s="22">
        <f t="shared" si="67"/>
        <v>0</v>
      </c>
      <c r="O260" s="22">
        <f t="shared" si="67"/>
        <v>0</v>
      </c>
      <c r="P260" s="22">
        <f t="shared" si="67"/>
        <v>0</v>
      </c>
      <c r="Q260" s="22">
        <f t="shared" si="67"/>
        <v>0</v>
      </c>
      <c r="R260" s="22">
        <f t="shared" si="67"/>
        <v>0</v>
      </c>
      <c r="S260" s="22">
        <f t="shared" si="67"/>
        <v>0</v>
      </c>
      <c r="T260" s="22">
        <f t="shared" si="67"/>
        <v>0</v>
      </c>
      <c r="U260" s="22">
        <f t="shared" si="67"/>
        <v>0</v>
      </c>
      <c r="V260" s="22">
        <f t="shared" si="67"/>
        <v>0</v>
      </c>
      <c r="X260" s="6"/>
      <c r="Y260" s="6"/>
      <c r="Z260" s="25"/>
      <c r="AA260" s="6"/>
      <c r="AB260" s="6"/>
      <c r="AC260" s="72" t="str">
        <f t="shared" si="49"/>
        <v xml:space="preserve">Prod, Trans, Distn </v>
      </c>
      <c r="AD260" s="74"/>
      <c r="AE260" s="22">
        <v>0</v>
      </c>
      <c r="AF260" s="22">
        <v>0</v>
      </c>
      <c r="AG260" s="6"/>
      <c r="AH260" s="6" t="str">
        <f>"Prorated on Prod, Trans &amp; Distribution Plant in Service - Sch F 2.2 L."&amp;$D$51</f>
        <v>Prorated on Prod, Trans &amp; Distribution Plant in Service - Sch F 2.2 L.35</v>
      </c>
      <c r="AI260" s="6"/>
    </row>
    <row r="261" spans="1:35" ht="33" x14ac:dyDescent="0.3">
      <c r="A261" s="28"/>
      <c r="B261" s="28"/>
      <c r="C261" s="73"/>
      <c r="D261" s="1">
        <f t="shared" si="63"/>
        <v>22</v>
      </c>
      <c r="E261" s="70" t="s">
        <v>153</v>
      </c>
      <c r="F261" s="22">
        <v>280720.19560669153</v>
      </c>
      <c r="G261" s="22">
        <f>IF(IndexPlant=1,IF($F$58&lt;&gt;0,$F261*(G58/$F$58),0),($F$261-$V$261)*((G58)/($F$58-$V$58)))</f>
        <v>110503.76563328404</v>
      </c>
      <c r="H261" s="22">
        <f>IF(IndexPlant=1,IF($F$58&lt;&gt;0,$F261*(H58/$F$58),0),($F$261-$V$261)*((H58)/($F$58-$V$58)))</f>
        <v>58098.743498007112</v>
      </c>
      <c r="I261" s="22">
        <v>72409.300378198153</v>
      </c>
      <c r="J261" s="22">
        <f t="shared" ref="J261:S261" si="68">IF(IndexPlant=1,IF($F$58&lt;&gt;0,$F261*(J58/$F$58),0),($F261-$V261)*((J58)/($F$58-$V$58)))</f>
        <v>10877.104581926684</v>
      </c>
      <c r="K261" s="22">
        <f t="shared" si="68"/>
        <v>5695.4080002868986</v>
      </c>
      <c r="L261" s="22">
        <f t="shared" si="68"/>
        <v>11356.681444492264</v>
      </c>
      <c r="M261" s="22">
        <f t="shared" si="68"/>
        <v>3098.2939642505385</v>
      </c>
      <c r="N261" s="22">
        <f t="shared" si="68"/>
        <v>947.01467408661995</v>
      </c>
      <c r="O261" s="22">
        <f t="shared" si="68"/>
        <v>1676.2946724137128</v>
      </c>
      <c r="P261" s="22">
        <f t="shared" si="68"/>
        <v>1640.7712866568988</v>
      </c>
      <c r="Q261" s="22">
        <f t="shared" si="68"/>
        <v>1862.0046722537795</v>
      </c>
      <c r="R261" s="22">
        <f t="shared" si="68"/>
        <v>546.80689858335506</v>
      </c>
      <c r="S261" s="22">
        <f t="shared" si="68"/>
        <v>916.16369407033324</v>
      </c>
      <c r="T261" s="22">
        <f>IF(IndexPlant=1,IF($F$58&lt;&gt;0,$F261*(T58/$F$58),0),($F261-V261)*((T58)/($F$58-$V$58)))</f>
        <v>466.5758400937703</v>
      </c>
      <c r="U261" s="22">
        <f>IF(IndexPlant=1,IF($F$58&lt;&gt;0,$F261*(U58/$F$58),0),($F261-V261)*((U58)/($F$58-$V$58)))</f>
        <v>625.26636808737351</v>
      </c>
      <c r="V261" s="22">
        <v>0</v>
      </c>
      <c r="X261" s="6"/>
      <c r="Y261" s="6"/>
      <c r="Z261" s="25"/>
      <c r="AA261" s="6"/>
      <c r="AB261" s="6"/>
      <c r="AC261" s="70" t="str">
        <f t="shared" si="49"/>
        <v>Prod, Trans, Distn and General Plant</v>
      </c>
      <c r="AD261" s="74"/>
      <c r="AE261" s="22">
        <v>0</v>
      </c>
      <c r="AF261" s="22">
        <v>0</v>
      </c>
      <c r="AG261" s="6"/>
      <c r="AH261" s="6" t="str">
        <f>IF(IndexPlant=1,"Prorated on Total Plant in Service, Sch F  2.2, L. "&amp;$D$58&amp;" (C5 &amp; 18 then prorated on indexed plant).","Prorated on Total Plant in Service, Sch F  2.2, L. "&amp;$D$58)</f>
        <v>Prorated on Total Plant in Service, Sch F  2.2, L. 42</v>
      </c>
      <c r="AI261" s="6"/>
    </row>
    <row r="262" spans="1:35" ht="33" x14ac:dyDescent="0.3">
      <c r="A262" s="28"/>
      <c r="B262" s="28"/>
      <c r="C262" s="73"/>
      <c r="D262" s="1">
        <f t="shared" si="63"/>
        <v>23</v>
      </c>
      <c r="E262" s="72" t="s">
        <v>154</v>
      </c>
      <c r="F262" s="22">
        <v>630853.74400000006</v>
      </c>
      <c r="G262" s="22">
        <f>IF(IndexPlant=1,IF($F$51&lt;&gt;0,$F262*((G51-G24-G25)/($F$51-$F$24-$F$25)),0),IF($F$51&lt;&gt;0,($F262-$V262)*((G51-G24-G25)/($F$51-$V$51-$F$24-$V$24-$F$25-$V$25)),0))</f>
        <v>108620.14629707647</v>
      </c>
      <c r="H262" s="22">
        <f>IF(IndexPlant=1,IF($F$51&lt;&gt;0,$F262*((H51-H24-H25)/($F$51-$F$24-$F$25)),0),IF($F$51&lt;&gt;0,($F262-$V262)*((H51-H24-H25)/($F$51-$V$51-$F$24-$V$24-$F$25-$V$25)),0))</f>
        <v>18600.597810867832</v>
      </c>
      <c r="I262" s="22">
        <v>327748.2913988923</v>
      </c>
      <c r="J262" s="22">
        <f>IF(IndexPlant=1,IF($F$51&lt;&gt;0,$F262*((J51-J24-J25)/($F$51-$F$24-$F$25)),0),IF($F$51&lt;&gt;0,($F262-V262)*((J51-J24-J25)/($F$51-$V51-$F$24-$V$24-$F$25-$V$25)),0))</f>
        <v>49446.579163145456</v>
      </c>
      <c r="K262" s="22">
        <f>IF(IndexPlant=1,IF($F$51&lt;&gt;0,$F262*((K51-K24-K25)/($F$51-$F$24-$F$25)),0),IF($F$51&lt;&gt;0,($F262-V262)*((K51-K24-K25)/($F$51-$V$51-$F$24-$V$24-$F$25-$V$25)),0))</f>
        <v>25499.167552464718</v>
      </c>
      <c r="L262" s="22">
        <f>IF(IndexPlant=1,IF($F$51&lt;&gt;0,$F262*((L51-L24-L25)/($F$51-$F$24-$F$25)),0),IF($F$51&lt;&gt;0,($F262-V262)*((L51-L24-L25)/($F$51-$V$51-$F$24-$V$24-$F$25-$V$25)),0))</f>
        <v>51036.451209690022</v>
      </c>
      <c r="M262" s="22">
        <f>IF(IndexPlant=1,IF($F$51&lt;&gt;0,$F262*((M51-M24-M25)/($F$51-$F$24-$F$25)),0),IF($F$51&lt;&gt;0,($F262-V262)*((M51-M24-M25)/($F$51-$V$51-$F$24-$V$24-$F$25-$V$25)),0))</f>
        <v>13923.603432271775</v>
      </c>
      <c r="N262" s="22">
        <f>IF(IndexPlant=1,IF($F$51&lt;&gt;0,$F262*((N51-N24-N25)/($F$51-$F$24-$F$25)),0),(IF($F$51&lt;&gt;0,($F262-V262)*((N51-N24-N25)/($F$51-$V$51-$F$24-$V$24-$F$25-$V$25)),0)))</f>
        <v>4255.8443190569842</v>
      </c>
      <c r="O262" s="22">
        <f>IF(IndexPlant=1,IF($F$51&lt;&gt;0,$F262*((O51-O24-O25)/($F$51-$F$24-$F$25)),0),(IF($F$51&lt;&gt;0,($F262-V262)*((O51-O24-O25)/($F$51-$V$51-$F$24-$V$24-$F$25-$V$25)),0)))</f>
        <v>7533.1981160039149</v>
      </c>
      <c r="P262" s="22">
        <f>IF(IndexPlant=1,IF($F$51&lt;&gt;0,$F262*((P51-P24-P25)/($F$51-$F$24-$F$25)),0),(IF($F$51&lt;&gt;0,($F262-V262)*((P51-P24-P25)/($F$51-$V$51-$F$24-$V$24-$F$25-$V$25)),0)))</f>
        <v>7373.5575068310754</v>
      </c>
      <c r="Q262" s="22">
        <f>IF(IndexPlant=1,IF($F$51&lt;&gt;0,$F262*((Q51-Q24-Q25)/($F$51-$F$24-$F$25)),0),(IF($F$51&lt;&gt;0,($F262-V262)*((Q51-Q24-Q25)/($F$51-$V$51-$F$24-$V$24-$F$25-$V$25)),0)))</f>
        <v>8367.7710845523761</v>
      </c>
      <c r="R262" s="22">
        <f>IF(IndexPlant=1,IF($F$51&lt;&gt;0,$F262*((R51-R24-R25)/($F$51-$F$24-$F$25)),0),(IF($F$51&lt;&gt;0,($F262-V262)*((R51-R24-R25)/($F$51-$V$51-$F$24-$V$24-$F$25-$V$25)),0)))</f>
        <v>2457.3273219885573</v>
      </c>
      <c r="S262" s="22">
        <f>IF(IndexPlant=1,IF($F$51&lt;&gt;0,$F262*((S51-S24-S25)/($F$51-$F$24-$F$25)),0),(IF($F$51&lt;&gt;0,($F262-V262)*((S51-S24-S25)/($F$51-$V$51-$F$24-$V$24-$F$25-$V$25)),0)))</f>
        <v>3894.4364848840137</v>
      </c>
      <c r="T262" s="22">
        <f>IF(IndexPlant=1,IF($F$51&lt;&gt;0,$F262*((T51-T24-T25)/($F$51-$F$24-$F$25)),0),(IF($F$51&lt;&gt;0,($F262-V262)*((T51-T24-T25)/($F$51-$V$51-$F$24-$V$24-$F$25-$V$25)),0)))</f>
        <v>2096.7723022744731</v>
      </c>
      <c r="U262" s="22">
        <f t="shared" ref="U262" si="69">IF($F$51&lt;&gt;0,$F262*((U51-U24-U25)/($F$51-$F$24-$F$25)),0)</f>
        <v>0</v>
      </c>
      <c r="V262" s="22">
        <v>0</v>
      </c>
      <c r="X262" s="6"/>
      <c r="Y262" s="6"/>
      <c r="Z262" s="58"/>
      <c r="AA262" s="6"/>
      <c r="AB262" s="6"/>
      <c r="AC262" s="72" t="str">
        <f t="shared" si="49"/>
        <v>Prod, Trans, Distn, Excl Hydraulic &amp; Holyrood</v>
      </c>
      <c r="AD262" s="74"/>
      <c r="AE262" s="22">
        <v>0</v>
      </c>
      <c r="AF262" s="22">
        <v>0</v>
      </c>
      <c r="AG262" s="6"/>
      <c r="AH262" s="6" t="str">
        <f>IF(IndexPlant=1,"Prorated on Total Plant in Service, Sch F  2.2, L. "&amp;$D$51&amp;" Less L. "&amp;$D$24&amp;" and L. "&amp;D25&amp;" (C5 &amp; 18 then prorated on indexed plant).","Prorated on Total Plant in Service, Sch F  2.2, L. "&amp;$D$51&amp;" Less L. "&amp;$D$24&amp;" and L. "&amp;D25)</f>
        <v>Prorated on Total Plant in Service, Sch F  2.2, L. 35 Less L. 10 and L. 11</v>
      </c>
      <c r="AI262" s="6"/>
    </row>
    <row r="263" spans="1:35" ht="16.5" x14ac:dyDescent="0.3">
      <c r="A263" s="28"/>
      <c r="B263" s="28"/>
      <c r="C263" s="73"/>
      <c r="D263" s="1">
        <f t="shared" si="63"/>
        <v>24</v>
      </c>
      <c r="E263" s="75" t="s">
        <v>155</v>
      </c>
      <c r="F263" s="22">
        <v>2927025.5762675228</v>
      </c>
      <c r="G263" s="22">
        <f>IF(IndexPlant=1,IF(SUM($F$29,$F$37,$F$40,$F$52:$F$54)&lt;&gt;0,$F263*((SUM(G$29,G$37,G$40,G$52:G$54)/SUM($F$29,$F$37,$F$40,$F$52:$F$54))),0),IF(SUM($F$29,$F$37,$F$40,$F$52:$F$54)&lt;&gt;0,($F263-V263)*((SUM(G$29,G$37,G$40,G$52:G$54)/SUM($F$29-$V29,$F$37-$V37,$F$40-$V$40,SUM($F$52:$F$54)-SUM($V$52:$V$54)))),0))</f>
        <v>1546263.638272638</v>
      </c>
      <c r="H263" s="22">
        <f>IF(IndexPlant=1,IF(SUM($F$29,$F$37,$F$40,$F$52:$F$54)&lt;&gt;0,$F263*((SUM(H$29,H$37,H$40,H$52:H$54)/SUM($F$29,$F$37,$F$40,$F$52:$F$54))),0),IF(SUM($F$29,$F$37,$F$40,$F$52:$F$54)&lt;&gt;0,($F263-V263)*((SUM(H$29,H$37,H$40,H$52:H$54)/SUM($F$29-$V$29,$F$37-$V$37,$F$40-$V$40,SUM($F$52:$F$54)-SUM($V$52:$V$54)))),0))</f>
        <v>803124.93595635414</v>
      </c>
      <c r="I263" s="22">
        <v>424143.33419678721</v>
      </c>
      <c r="J263" s="22">
        <f>IF(IndexPlant=1,IF(SUM($F$29,$F$37,$F$40,$F$52:$F$54)&lt;&gt;0,$F263*((SUM(J$29,J$37,J$40,J$52:J$54)/SUM($F$29,$F$37,$F$40,$F$52:$F$54))),0),IF(SUM($F$29,$F$37,$F$40,$F$52:$F$54)&lt;&gt;0,($F263-V263)*((SUM(J$29,J$37,J$40,J$52:J$54)/SUM($F$29-$V$29,$F$37-$V$37,$F$40-$V$40,SUM($F$52:$F$54)-SUM($V$52:$V$54)))),0))</f>
        <v>43418.058954115579</v>
      </c>
      <c r="K263" s="22">
        <f>IF(IndexPlant=1,IF(SUM($F$29,$F$37,$F$40,$F$52:$F$54)&lt;&gt;0,$F263*((SUM(K$29,K$37,K$40,K$52:K$54)/SUM($F$29,$F$37,$F$40,$F$52:$F$54))),0),IF(SUM($F$29,$F$37,$F$40,$F$52:$F$54)&lt;&gt;0,($F263-V263)*((SUM(K$29,K$37,K$40,K$52:K$54)/SUM($F$29-$V$29,$F$37-$V$37,$F$40-$V$40,SUM($F$52:$F$54)-SUM($V$52:$V$54)))),0))</f>
        <v>80700.280285953311</v>
      </c>
      <c r="L263" s="22">
        <f>IF(IndexPlant=1,IF(SUM($F$29,$F$37,$F$40,$F$52:$F$54)&lt;&gt;0,$F263*((SUM(L$29,L$37,L$40,L$52:L$54)/SUM($F$29,$F$37,$F$40,$F$52:$F$54))),0),IF(SUM($F$29,$F$37,$F$40,$F$52:$F$54)&lt;&gt;0,($F263-V263)*((SUM(L$29,L$37,L$40,L$52:L$54)/SUM($F$29-$V$29,$F$37-$V$37,$F$40-$V$40,SUM($F$52:$F$54)-SUM($V$52:$V$54)))),0))</f>
        <v>9998.3292668439026</v>
      </c>
      <c r="M263" s="22">
        <f>IF(IndexPlant=1,IF(SUM($F$29,$F$37,$F$40,$F$52:$F$54)&lt;&gt;0,$F263*((SUM(M$29,M$37,M$40,M$52:M$54)/SUM($F$29,$F$37,$F$40,$F$52:$F$54))),0),IF(SUM($F$29,$F$37,$F$40,$F$52:$F$54)&lt;&gt;0,($F263-V263)*((SUM(M$29,M$37,M$40,M$52:M$54)/SUM($F$29-$V$29,$F$37-$V$37,$F$40-$V$40,SUM($F$52:$F$54)-SUM($V$52:$V$54)))),0))</f>
        <v>2727.7126131838013</v>
      </c>
      <c r="N263" s="22">
        <f>IF(IndexPlant=1,IF(SUM($F$29,$F$37,$F$40,$F$52:$F$54)&lt;&gt;0,$F263*((SUM(N$29,N$37,N$40,N$52:N$54)/SUM($F$29,$F$37,$F$40,$F$52:$F$54))),0),IF(SUM($F$29,$F$37,$F$40,$F$52:$F$54)&lt;&gt;0,($F263-V263)*((SUM(N$29,N$37,N$40,N$52:N$54)/SUM($F$29-$V$29,$F$37-$V$37,$F$40-$V$40,SUM($F$52:$F$54)-SUM($V$52:$V$54)))),0))</f>
        <v>833.74395753989688</v>
      </c>
      <c r="O263" s="22">
        <f>IF(IndexPlant=1,IF(SUM($F$29,$F$37,$F$40,$F$52:$F$54)&lt;&gt;0,$F263*((SUM(O$29,O$37,O$40,O$52:O$54)/SUM($F$29,$F$37,$F$40,$F$52:$F$54))),0),IF(SUM($F$29,$F$37,$F$40,$F$52:$F$54)&lt;&gt;0,($F263-V263)*((SUM(O$29,O$37,O$40,O$52:O$54)/SUM($F$29-$V$29,$F$37-$V$37,$F$40-$V$40,SUM($F$52:$F$54)-SUM($V$52:$V$54)))),0))</f>
        <v>1475.7960910470749</v>
      </c>
      <c r="P263" s="22">
        <f>IF(IndexPlant=1,IF(SUM($F$29,$F$37,$F$40,$F$52:$F$54)&lt;&gt;0,$F263*((SUM(P$29,P$37,P$40,P$52:P$54)/SUM($F$29,$F$37,$F$40,$F$52:$F$54))),0),IF(SUM($F$29,$F$37,$F$40,$F$52:$F$54)&lt;&gt;0,($F263-V263)*((SUM(P$29,P$37,P$40,P$52:P$54)/SUM($F$29-$V$29,$F$37-$V$37,$F$40-$V$40,SUM($F$52:$F$54)-SUM($V$52:$V$54)))),0))</f>
        <v>1444.521593368707</v>
      </c>
      <c r="Q263" s="22">
        <f>IF(IndexPlant=1,IF(SUM($F$29,$F$37,$F$40,$F$52:$F$54)&lt;&gt;0,$F263*((SUM(Q$29,Q$37,Q$40,Q$52:Q$54)/SUM($F$29,$F$37,$F$40,$F$52:$F$54))),0),IF(SUM($F$29,$F$37,$F$40,$F$52:$F$54)&lt;&gt;0,($F263-V263)*((SUM(Q$29,Q$37,Q$40,Q$52:Q$54)/SUM($F$29-$V$29,$F$37-$V$37,$F$40-$V$40,SUM($F$52:$F$54)-SUM($V$52:$V$54)))),0))</f>
        <v>1639.293652867568</v>
      </c>
      <c r="R263" s="22">
        <f>IF(IndexPlant=1,IF(SUM($F$29,$F$37,$F$40,$F$52:$F$54)&lt;&gt;0,$F263*((SUM(R$29,R$37,R$40,R$52:R$54)/SUM($F$29,$F$37,$F$40,$F$52:$F$54))),0),IF(SUM($F$29,$F$37,$F$40,$F$52:$F$54)&lt;&gt;0,($F263-V263)*((SUM(R$29,R$37,R$40,R$52:R$54)/SUM($F$29-$V$29,$F$37-$V$37,$F$40-$V$40,SUM($F$52:$F$54)-SUM($V$52:$V$54)))),0))</f>
        <v>481.40431200256592</v>
      </c>
      <c r="S263" s="22">
        <f>IF(IndexPlant=1,IF(SUM($F$29,$F$37,$F$40,$F$52:$F$54)&lt;&gt;0,$F263*((SUM(S$29,S$37,S$40,S$52:S$54)/SUM($F$29,$F$37,$F$40,$F$52:$F$54))),0),IF(SUM($F$29,$F$37,$F$40,$F$52:$F$54)&lt;&gt;0,($F263-V263)*((SUM(S$29,S$37,S$40,S$52:S$54)/SUM($F$29-$V$29,$F$37-$V$37,$F$40-$V$40,SUM($F$52:$F$54)-SUM($V$52:$V$54)))),0))</f>
        <v>1468.1665099997172</v>
      </c>
      <c r="T263" s="22">
        <f>IF(IndexPlant=1,IF(SUM($F$29,$F$37,$F$40,$F$52:$F$54)&lt;&gt;0,$F263*((SUM(T$29,T$37,T$40,T$52:T$54)/SUM($F$29,$F$37,$F$40,$F$52:$F$54))),0),IF(SUM($F$29,$F$37,$F$40,$F$52:$F$54)&lt;&gt;0,($F263-V263)*((SUM(T$29,T$37,T$40,T$52:T$54)/SUM($F$29-$V$29,$F$37-$V$37,$F$40-$V$40,SUM($F$52:$F$54)-SUM($V$52:$V$54)))),0))</f>
        <v>410.76954566461262</v>
      </c>
      <c r="U263" s="22">
        <f>IF(IndexPlant=1,IF(SUM($F$29,$F$37,$F$40,$F$52:$F$54)&lt;&gt;0,$F263*((SUM(U$29,U$37,U$40,U$52:U$54)/SUM($F$29,$F$37,$F$40,$F$52:$F$54))),0),IF(SUM($F$29,$F$37,$F$40,$F$52:$F$54)&lt;&gt;0,($F263-V263)*((SUM(U$29,U$37,U$40,U$52:U$54)/SUM($F$29-$V$29,$F$37-$V$37,$F$40-$V$40,SUM($F$52:$F$54)-SUM($V$52:$V$54)))),0))</f>
        <v>8895.5910591563061</v>
      </c>
      <c r="V263" s="22">
        <v>0</v>
      </c>
      <c r="X263" s="6"/>
      <c r="Y263" s="6"/>
      <c r="Z263" s="25"/>
      <c r="AA263" s="6"/>
      <c r="AB263" s="6"/>
      <c r="AC263" s="1" t="str">
        <f t="shared" si="49"/>
        <v>Property Insurance</v>
      </c>
      <c r="AD263" s="6"/>
      <c r="AE263" s="22">
        <v>0</v>
      </c>
      <c r="AF263" s="22">
        <v>0</v>
      </c>
      <c r="AG263" s="6"/>
      <c r="AH263" s="6" t="str">
        <f>IF(IndexPlant=1,"Prorated on Prod., Trans. Terminal, Dist. Sub &amp; General Plant in Service - Sch F 2.2  L."&amp;D29&amp;", "&amp;D37&amp;", "&amp;D40&amp;", "&amp;D52&amp;" - "&amp;D54&amp;" (C5","Prorated on Prod., Trans. Terminal, Dist. Sub &amp; General Plant in Service - Sch F 2.2  L."&amp;D29&amp;", "&amp;D37&amp;", "&amp;D40&amp;", "&amp;D52&amp;" - "&amp;D54)</f>
        <v>Prorated on Prod., Trans. Terminal, Dist. Sub &amp; General Plant in Service - Sch F 2.2  L.15, 22, 24, 36 - 38</v>
      </c>
      <c r="AI263" s="6"/>
    </row>
    <row r="264" spans="1:35" ht="16.5" x14ac:dyDescent="0.3">
      <c r="A264" s="28"/>
      <c r="B264" s="28"/>
      <c r="C264" s="73"/>
      <c r="D264" s="1"/>
      <c r="E264" s="17" t="s">
        <v>156</v>
      </c>
      <c r="F264" s="34"/>
      <c r="G264" s="22"/>
      <c r="H264" s="22"/>
      <c r="I264" s="76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X264" s="6"/>
      <c r="Y264" s="6"/>
      <c r="Z264" s="25"/>
      <c r="AA264" s="6"/>
      <c r="AB264" s="6"/>
      <c r="AC264" s="17" t="str">
        <f t="shared" si="49"/>
        <v>Revenue-Related:</v>
      </c>
      <c r="AD264" s="6"/>
      <c r="AE264" s="22"/>
      <c r="AF264" s="22"/>
      <c r="AG264" s="6"/>
      <c r="AH264" s="27" t="str">
        <f>IF(IndexPlant=1,"    &amp; 18 then prorated on indexed plant).","")</f>
        <v/>
      </c>
      <c r="AI264" s="6"/>
    </row>
    <row r="265" spans="1:35" ht="16.5" x14ac:dyDescent="0.3">
      <c r="A265" s="28"/>
      <c r="B265" s="28"/>
      <c r="C265" s="73"/>
      <c r="D265" s="1">
        <f t="shared" ref="D265:D270" si="70">MAX(D262:D264)+NoOne</f>
        <v>25</v>
      </c>
      <c r="E265" s="75" t="s">
        <v>157</v>
      </c>
      <c r="F265" s="22">
        <v>1436329.2993722465</v>
      </c>
      <c r="G265" s="22">
        <v>0</v>
      </c>
      <c r="H265" s="22">
        <v>0</v>
      </c>
      <c r="I265" s="22">
        <v>0</v>
      </c>
      <c r="J265" s="22">
        <v>0</v>
      </c>
      <c r="K265" s="22">
        <v>0</v>
      </c>
      <c r="L265" s="22">
        <v>0</v>
      </c>
      <c r="M265" s="22">
        <v>0</v>
      </c>
      <c r="N265" s="22">
        <v>0</v>
      </c>
      <c r="O265" s="22">
        <v>0</v>
      </c>
      <c r="P265" s="22">
        <v>0</v>
      </c>
      <c r="Q265" s="22">
        <v>0</v>
      </c>
      <c r="R265" s="22">
        <v>0</v>
      </c>
      <c r="S265" s="22">
        <v>0</v>
      </c>
      <c r="T265" s="22">
        <v>0</v>
      </c>
      <c r="U265" s="22">
        <v>0</v>
      </c>
      <c r="V265" s="22">
        <v>0</v>
      </c>
      <c r="X265" s="6"/>
      <c r="Y265" s="6"/>
      <c r="Z265" s="25"/>
      <c r="AA265" s="6"/>
      <c r="AB265" s="6"/>
      <c r="AC265" s="75" t="str">
        <f t="shared" si="49"/>
        <v>Municipal Tax</v>
      </c>
      <c r="AD265" s="6"/>
      <c r="AE265" s="22">
        <f>+F265</f>
        <v>1436329.2993722465</v>
      </c>
      <c r="AF265" s="22">
        <v>0</v>
      </c>
      <c r="AG265" s="6"/>
      <c r="AH265" s="6" t="s">
        <v>158</v>
      </c>
      <c r="AI265" s="6"/>
    </row>
    <row r="266" spans="1:35" ht="16.5" x14ac:dyDescent="0.3">
      <c r="A266" s="28"/>
      <c r="B266" s="28"/>
      <c r="C266" s="73"/>
      <c r="D266" s="1">
        <f t="shared" si="70"/>
        <v>26</v>
      </c>
      <c r="E266" s="75" t="s">
        <v>159</v>
      </c>
      <c r="F266" s="22">
        <v>977601.02825796138</v>
      </c>
      <c r="G266" s="22">
        <v>0</v>
      </c>
      <c r="H266" s="22">
        <v>0</v>
      </c>
      <c r="I266" s="22">
        <v>0</v>
      </c>
      <c r="J266" s="22">
        <v>0</v>
      </c>
      <c r="K266" s="22">
        <v>0</v>
      </c>
      <c r="L266" s="22">
        <v>0</v>
      </c>
      <c r="M266" s="22">
        <v>0</v>
      </c>
      <c r="N266" s="22">
        <v>0</v>
      </c>
      <c r="O266" s="22">
        <v>0</v>
      </c>
      <c r="P266" s="22">
        <v>0</v>
      </c>
      <c r="Q266" s="22">
        <v>0</v>
      </c>
      <c r="R266" s="22">
        <v>0</v>
      </c>
      <c r="S266" s="22">
        <v>0</v>
      </c>
      <c r="T266" s="22">
        <v>0</v>
      </c>
      <c r="U266" s="22">
        <v>0</v>
      </c>
      <c r="V266" s="22">
        <v>0</v>
      </c>
      <c r="X266" s="6"/>
      <c r="Y266" s="6"/>
      <c r="Z266" s="25"/>
      <c r="AA266" s="6"/>
      <c r="AB266" s="6"/>
      <c r="AC266" s="75" t="str">
        <f t="shared" si="49"/>
        <v>PUB Assessment</v>
      </c>
      <c r="AD266" s="6"/>
      <c r="AE266" s="22">
        <v>0</v>
      </c>
      <c r="AF266" s="22">
        <f>+F266</f>
        <v>977601.02825796138</v>
      </c>
      <c r="AG266" s="6"/>
      <c r="AH266" s="6" t="s">
        <v>158</v>
      </c>
      <c r="AI266" s="6"/>
    </row>
    <row r="267" spans="1:35" ht="16.5" x14ac:dyDescent="0.3">
      <c r="A267" s="28"/>
      <c r="B267" s="26" t="str">
        <f>IF(OverheadAlloc="Expenses","E-GTDC","L-GTDC")</f>
        <v>E-GTDC</v>
      </c>
      <c r="C267" s="73"/>
      <c r="D267" s="1">
        <f t="shared" si="70"/>
        <v>27</v>
      </c>
      <c r="E267" s="17" t="s">
        <v>160</v>
      </c>
      <c r="F267" s="34">
        <v>28306854.152895022</v>
      </c>
      <c r="G267" s="22">
        <f>IF(IndexPlant=1,$F267*VLOOKUP($B267,RatiosIslInt,G$561,FALSE),($F$267-V267)*G565)</f>
        <v>13383508.493256219</v>
      </c>
      <c r="H267" s="22">
        <f>IF(IndexPlant=1,$F267*VLOOKUP($B267,RatiosIslInt,H$561,FALSE),($F$267-V267)*H565)</f>
        <v>4728466.4291516291</v>
      </c>
      <c r="I267" s="22">
        <v>5819405.0827714177</v>
      </c>
      <c r="J267" s="22">
        <f t="shared" ref="J267:U267" si="71">IF(IndexPlant=1,$F267*VLOOKUP($B267,RatiosIslInt,J$561,FALSE),($F$267-$V$267)*J565)</f>
        <v>808562.75214196777</v>
      </c>
      <c r="K267" s="22">
        <f t="shared" si="71"/>
        <v>543922.88484875532</v>
      </c>
      <c r="L267" s="22">
        <f t="shared" si="71"/>
        <v>1025833.1634840736</v>
      </c>
      <c r="M267" s="22">
        <f t="shared" si="71"/>
        <v>279864.56380637153</v>
      </c>
      <c r="N267" s="22">
        <f t="shared" si="71"/>
        <v>85542.512020997267</v>
      </c>
      <c r="O267" s="22">
        <f t="shared" si="71"/>
        <v>151417.35507317798</v>
      </c>
      <c r="P267" s="22">
        <f t="shared" si="71"/>
        <v>148208.57728305599</v>
      </c>
      <c r="Q267" s="22">
        <f t="shared" si="71"/>
        <v>168192.27982189978</v>
      </c>
      <c r="R267" s="22">
        <f t="shared" si="71"/>
        <v>49392.302965468654</v>
      </c>
      <c r="S267" s="22">
        <f t="shared" si="71"/>
        <v>151300.52110437764</v>
      </c>
      <c r="T267" s="22">
        <f t="shared" si="71"/>
        <v>42145.14357807894</v>
      </c>
      <c r="U267" s="22">
        <f t="shared" si="71"/>
        <v>921092.09158753487</v>
      </c>
      <c r="V267" s="22">
        <v>0</v>
      </c>
      <c r="X267" s="6"/>
      <c r="Y267" s="6"/>
      <c r="Z267" s="25"/>
      <c r="AA267" s="6"/>
      <c r="AB267" s="6"/>
      <c r="AC267" s="17" t="str">
        <f t="shared" si="49"/>
        <v xml:space="preserve">All Expense-Related </v>
      </c>
      <c r="AD267" s="6"/>
      <c r="AE267" s="22">
        <v>0</v>
      </c>
      <c r="AF267" s="22">
        <v>0</v>
      </c>
      <c r="AG267" s="6"/>
      <c r="AH267" s="27" t="str">
        <f>"Prorated on Subtotal Production, Transmission, Distribution, Accounting Expenses - L "&amp;$D$250&amp;", "&amp;$D$252</f>
        <v>Prorated on Subtotal Production, Transmission, Distribution, Accounting Expenses - L 15, 16</v>
      </c>
      <c r="AI267" s="6"/>
    </row>
    <row r="268" spans="1:35" ht="33" x14ac:dyDescent="0.3">
      <c r="A268" s="28"/>
      <c r="B268" s="26" t="str">
        <f>IF(OverheadAlloc="Expenses","E-GTD","L-GTD")</f>
        <v>E-GTD</v>
      </c>
      <c r="C268" s="73"/>
      <c r="D268" s="1">
        <f t="shared" si="70"/>
        <v>28</v>
      </c>
      <c r="E268" s="77" t="s">
        <v>161</v>
      </c>
      <c r="F268" s="23">
        <v>525391.64708819729</v>
      </c>
      <c r="G268" s="22">
        <f>IF(IndexPlant=1,$F268*VLOOKUP($B268,RatiosIslInt,G$561,FALSE),($F$268-V268)*G566)</f>
        <v>256760.55883891115</v>
      </c>
      <c r="H268" s="22">
        <f>IF(IndexPlant=1,$F268*VLOOKUP($B268,RatiosIslInt,H$561,FALSE),($F$268-V268)*H566)</f>
        <v>90714.903600335019</v>
      </c>
      <c r="I268" s="22">
        <v>111644.39443627912</v>
      </c>
      <c r="J268" s="22">
        <f>IF(IndexPlant=1,$F268*VLOOKUP($B268,RatiosIslInt,J$561,FALSE),($F$268-V268)*J566)</f>
        <v>15512.152452468663</v>
      </c>
      <c r="K268" s="22">
        <f>IF(IndexPlant=1,$F268*VLOOKUP($B268,RatiosIslInt,K$561,FALSE),($F$268-V268)*K566)</f>
        <v>10435.077166007031</v>
      </c>
      <c r="L268" s="22">
        <f>IF(IndexPlant=1,$F268*VLOOKUP($B268,RatiosIslInt,L$561,FALSE),($F$268-V268)*L566)</f>
        <v>19680.45198793571</v>
      </c>
      <c r="M268" s="22">
        <f>IF(IndexPlant=1,$F268*VLOOKUP($B268,RatiosIslInt,M$561,FALSE),($F$268-V268)*M566)</f>
        <v>5369.1587552203137</v>
      </c>
      <c r="N268" s="22">
        <f>IF(IndexPlant=1,$F268*VLOOKUP($B268,RatiosIslInt,N$561,FALSE),($F$268-V268)*N566)</f>
        <v>1641.1199800159193</v>
      </c>
      <c r="O268" s="22">
        <f>IF(IndexPlant=1,$F268*VLOOKUP($B268,RatiosIslInt,O$561,FALSE),($F$268-V268)*O566)</f>
        <v>2904.9187457899516</v>
      </c>
      <c r="P268" s="22">
        <f>IF(IndexPlant=1,$F268*VLOOKUP($B268,RatiosIslInt,P$561,FALSE),($F$268-V268)*P566)</f>
        <v>2843.3588357710828</v>
      </c>
      <c r="Q268" s="22">
        <f>IF(IndexPlant=1,$F268*VLOOKUP($B268,RatiosIslInt,Q$561,FALSE),($F$268-V268)*Q566)</f>
        <v>3226.7431056080663</v>
      </c>
      <c r="R268" s="22">
        <f>IF(IndexPlant=1,$F268*VLOOKUP($B268,RatiosIslInt,R$561,FALSE),($F$268-V268)*R566)</f>
        <v>947.58376087591955</v>
      </c>
      <c r="S268" s="22">
        <f>IF(IndexPlant=1,$F268*VLOOKUP($B268,RatiosIslInt,S$561,FALSE),($F$268-V268)*S566)</f>
        <v>2902.677304008399</v>
      </c>
      <c r="T268" s="22">
        <f>IF(IndexPlant=1,$F268*VLOOKUP($B268,RatiosIslInt,T$561,FALSE),($F$268-V268)*T566)</f>
        <v>808.54811897092372</v>
      </c>
      <c r="U268" s="22">
        <f>$F268*VLOOKUP($B268,RatiosIslInt,U$561,FALSE)</f>
        <v>0</v>
      </c>
      <c r="V268" s="22">
        <v>0</v>
      </c>
      <c r="X268" s="6"/>
      <c r="Y268" s="6"/>
      <c r="Z268" s="16"/>
      <c r="AA268" s="6"/>
      <c r="AB268" s="6"/>
      <c r="AC268" s="77" t="str">
        <f t="shared" si="49"/>
        <v xml:space="preserve">Prod, Trans, and Distn Expense-Related </v>
      </c>
      <c r="AD268" s="6"/>
      <c r="AE268" s="22">
        <v>0</v>
      </c>
      <c r="AF268" s="22">
        <v>0</v>
      </c>
      <c r="AG268" s="6"/>
      <c r="AH268" s="27" t="str">
        <f>"Prorated on Subtotal Production, Transmission, Distribution  Expenses - L "&amp;D250</f>
        <v>Prorated on Subtotal Production, Transmission, Distribution  Expenses - L 15</v>
      </c>
      <c r="AI268" s="6"/>
    </row>
    <row r="269" spans="1:35" ht="16.5" x14ac:dyDescent="0.3">
      <c r="A269" s="28">
        <f>SUM(G269:AF269)-F269</f>
        <v>0</v>
      </c>
      <c r="B269" s="28"/>
      <c r="C269" s="29"/>
      <c r="D269" s="1">
        <f t="shared" si="70"/>
        <v>29</v>
      </c>
      <c r="E269" s="20" t="s">
        <v>162</v>
      </c>
      <c r="F269" s="30">
        <f>SUM(F256:F268)</f>
        <v>52628248.161387637</v>
      </c>
      <c r="G269" s="30">
        <f>SUM(G256:G268)</f>
        <v>22499474.164078891</v>
      </c>
      <c r="H269" s="30">
        <f>SUM(H256:H268)</f>
        <v>8447302.5719465781</v>
      </c>
      <c r="I269" s="30">
        <f>SUM(I256:I268)</f>
        <v>10973058.473551029</v>
      </c>
      <c r="J269" s="30">
        <f t="shared" ref="J269:V269" si="72">SUM(J256:J268)</f>
        <v>1564131.8973241409</v>
      </c>
      <c r="K269" s="30">
        <f t="shared" si="72"/>
        <v>1177013.4694341552</v>
      </c>
      <c r="L269" s="30">
        <f t="shared" si="72"/>
        <v>2299316.5361824525</v>
      </c>
      <c r="M269" s="30">
        <f t="shared" si="72"/>
        <v>627292.27554502792</v>
      </c>
      <c r="N269" s="30">
        <f t="shared" si="72"/>
        <v>191736.16084748355</v>
      </c>
      <c r="O269" s="30">
        <f t="shared" si="72"/>
        <v>339388.93845302495</v>
      </c>
      <c r="P269" s="30">
        <f t="shared" si="72"/>
        <v>332196.73986129265</v>
      </c>
      <c r="Q269" s="30">
        <f t="shared" si="72"/>
        <v>376988.48508588353</v>
      </c>
      <c r="R269" s="30">
        <f t="shared" si="72"/>
        <v>110708.58596822782</v>
      </c>
      <c r="S269" s="30">
        <f t="shared" si="72"/>
        <v>250631.88304257524</v>
      </c>
      <c r="T269" s="30">
        <f t="shared" si="72"/>
        <v>94464.703421888451</v>
      </c>
      <c r="U269" s="30">
        <f t="shared" si="72"/>
        <v>930612.9490147786</v>
      </c>
      <c r="V269" s="30">
        <f t="shared" si="72"/>
        <v>0</v>
      </c>
      <c r="X269" s="6"/>
      <c r="Y269" s="6"/>
      <c r="Z269" s="25"/>
      <c r="AA269" s="6"/>
      <c r="AB269" s="6"/>
      <c r="AC269" s="20" t="str">
        <f t="shared" si="49"/>
        <v>Subtotal Admin &amp; General</v>
      </c>
      <c r="AD269" s="6"/>
      <c r="AE269" s="30">
        <f>SUM(AE256:AE268)</f>
        <v>1436329.2993722465</v>
      </c>
      <c r="AF269" s="30">
        <f>SUM(AF256:AF268)</f>
        <v>977601.02825796138</v>
      </c>
      <c r="AG269" s="6"/>
      <c r="AH269" s="6"/>
      <c r="AI269" s="6"/>
    </row>
    <row r="270" spans="1:35" ht="33.75" thickBot="1" x14ac:dyDescent="0.35">
      <c r="A270" s="28">
        <f>SUM(G270:AF270)-F270</f>
        <v>0</v>
      </c>
      <c r="B270" s="28"/>
      <c r="C270" s="29" t="s">
        <v>39</v>
      </c>
      <c r="D270" s="1">
        <f t="shared" si="70"/>
        <v>30</v>
      </c>
      <c r="E270" s="39" t="s">
        <v>163</v>
      </c>
      <c r="F270" s="62">
        <f>SUM(F269,F252,F250)</f>
        <v>120418337.08183235</v>
      </c>
      <c r="G270" s="62">
        <f>SUM(G269,G252,G250)</f>
        <v>54298911.797054633</v>
      </c>
      <c r="H270" s="62">
        <f>SUM(H269,H252,H250)</f>
        <v>19682217.048161283</v>
      </c>
      <c r="I270" s="62">
        <f>SUM(I269,I252,I250)</f>
        <v>24800061.24220904</v>
      </c>
      <c r="J270" s="62">
        <f t="shared" ref="J270:V270" si="73">SUM(J269,J252,J250)</f>
        <v>3485290.3754647272</v>
      </c>
      <c r="K270" s="62">
        <f t="shared" si="73"/>
        <v>2469383.2439676193</v>
      </c>
      <c r="L270" s="62">
        <f t="shared" si="73"/>
        <v>4736713.1067818049</v>
      </c>
      <c r="M270" s="62">
        <f t="shared" si="73"/>
        <v>1292255.1099860144</v>
      </c>
      <c r="N270" s="62">
        <f t="shared" si="73"/>
        <v>394986.58485628938</v>
      </c>
      <c r="O270" s="62">
        <f t="shared" si="73"/>
        <v>699159.07956556487</v>
      </c>
      <c r="P270" s="62">
        <f t="shared" si="73"/>
        <v>684342.77184979548</v>
      </c>
      <c r="Q270" s="62">
        <f t="shared" si="73"/>
        <v>776616.12497115787</v>
      </c>
      <c r="R270" s="62">
        <f t="shared" si="73"/>
        <v>228065.51509416613</v>
      </c>
      <c r="S270" s="62">
        <f t="shared" si="73"/>
        <v>610124.42471202812</v>
      </c>
      <c r="T270" s="62">
        <f t="shared" si="73"/>
        <v>194602.26192676296</v>
      </c>
      <c r="U270" s="62">
        <f t="shared" si="73"/>
        <v>3119142.9996680859</v>
      </c>
      <c r="V270" s="62">
        <f t="shared" si="73"/>
        <v>532535.06793316943</v>
      </c>
      <c r="X270" s="6"/>
      <c r="Y270" s="6"/>
      <c r="Z270" s="58"/>
      <c r="AA270" s="6"/>
      <c r="AB270" s="6"/>
      <c r="AC270" s="39" t="str">
        <f t="shared" si="49"/>
        <v>Total Operating &amp; Maintenance Expenses</v>
      </c>
      <c r="AD270" s="6"/>
      <c r="AE270" s="62">
        <f>SUM(AE269,AE252,AE250)</f>
        <v>1436329.2993722465</v>
      </c>
      <c r="AF270" s="62">
        <f>SUM(AF269,AF252,AF250)</f>
        <v>977601.02825796138</v>
      </c>
      <c r="AG270" s="6"/>
      <c r="AH270" s="6"/>
      <c r="AI270" s="6"/>
    </row>
    <row r="271" spans="1:35" ht="17.25" thickTop="1" x14ac:dyDescent="0.3">
      <c r="A271" s="28"/>
      <c r="B271" s="28"/>
      <c r="C271" s="26"/>
      <c r="D271" s="1"/>
      <c r="E271" s="6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</row>
    <row r="272" spans="1:35" ht="16.5" x14ac:dyDescent="0.3">
      <c r="A272" s="28"/>
      <c r="B272" s="28"/>
      <c r="C272" s="26"/>
      <c r="D272" s="1"/>
      <c r="E272" s="57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42" t="s">
        <v>164</v>
      </c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7" t="s">
        <v>164</v>
      </c>
    </row>
    <row r="273" spans="1:35" ht="16.5" x14ac:dyDescent="0.3">
      <c r="A273" s="28"/>
      <c r="B273" s="28"/>
      <c r="C273" s="26"/>
      <c r="D273" s="1"/>
      <c r="E273" s="6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42" t="s">
        <v>3</v>
      </c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7" t="s">
        <v>4</v>
      </c>
    </row>
    <row r="274" spans="1:35" ht="16.5" x14ac:dyDescent="0.3">
      <c r="A274" s="28"/>
      <c r="B274" s="28"/>
      <c r="C274" s="26"/>
      <c r="D274" s="1"/>
      <c r="E274" s="6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</row>
    <row r="275" spans="1:35" ht="16.5" x14ac:dyDescent="0.3">
      <c r="A275" s="43"/>
      <c r="B275" s="43"/>
      <c r="C275" s="44"/>
      <c r="D275" s="8" t="str">
        <f>D5</f>
        <v>NEWFOUNDLAND AND LABRADOR HYDRO</v>
      </c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10"/>
      <c r="X275" s="6"/>
      <c r="Y275" s="6"/>
      <c r="AA275" s="9" t="s">
        <v>6</v>
      </c>
      <c r="AB275" s="9"/>
      <c r="AC275" s="10"/>
      <c r="AD275" s="9"/>
      <c r="AE275" s="9"/>
      <c r="AF275" s="9"/>
      <c r="AG275" s="9"/>
      <c r="AH275" s="11"/>
      <c r="AI275" s="11"/>
    </row>
    <row r="276" spans="1:35" ht="16.5" x14ac:dyDescent="0.3">
      <c r="A276" s="43"/>
      <c r="B276" s="43"/>
      <c r="C276" s="44"/>
      <c r="D276" s="8" t="str">
        <f>D6</f>
        <v>2027 Test Year Cost of Service Study</v>
      </c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10"/>
      <c r="X276" s="6"/>
      <c r="Y276" s="6"/>
      <c r="AA276" s="9" t="str">
        <f>RunName</f>
        <v>2027 Test Year Cost of Service Study</v>
      </c>
      <c r="AB276" s="9"/>
      <c r="AC276" s="10"/>
      <c r="AD276" s="9"/>
      <c r="AE276" s="9"/>
      <c r="AF276" s="9"/>
      <c r="AG276" s="9"/>
      <c r="AH276" s="11"/>
      <c r="AI276" s="11"/>
    </row>
    <row r="277" spans="1:35" ht="16.5" x14ac:dyDescent="0.3">
      <c r="A277" s="43"/>
      <c r="B277" s="43"/>
      <c r="C277" s="44"/>
      <c r="D277" s="8" t="str">
        <f>$B$1</f>
        <v>Island Interconnected</v>
      </c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10"/>
      <c r="X277" s="6"/>
      <c r="Y277" s="6"/>
      <c r="AA277" s="9" t="str">
        <f>$B$1</f>
        <v>Island Interconnected</v>
      </c>
      <c r="AB277" s="9"/>
      <c r="AC277" s="10"/>
      <c r="AD277" s="9"/>
      <c r="AE277" s="9"/>
      <c r="AF277" s="9"/>
      <c r="AG277" s="9"/>
      <c r="AH277" s="11"/>
      <c r="AI277" s="11"/>
    </row>
    <row r="278" spans="1:35" ht="16.5" x14ac:dyDescent="0.3">
      <c r="A278" s="43"/>
      <c r="B278" s="43"/>
      <c r="C278" s="44"/>
      <c r="D278" s="8" t="s">
        <v>165</v>
      </c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10"/>
      <c r="X278" s="6"/>
      <c r="Y278" s="6"/>
      <c r="AA278" s="9" t="str">
        <f>+D278&amp;" (CONT'D.)"</f>
        <v>Functional Classification of Revenue Requirement (CONT'D.)</v>
      </c>
      <c r="AB278" s="9"/>
      <c r="AC278" s="10"/>
      <c r="AD278" s="9"/>
      <c r="AE278" s="9"/>
      <c r="AF278" s="9"/>
      <c r="AG278" s="9"/>
      <c r="AH278" s="11"/>
      <c r="AI278" s="11"/>
    </row>
    <row r="279" spans="1:35" ht="16.5" x14ac:dyDescent="0.3">
      <c r="A279" s="28"/>
      <c r="B279" s="28"/>
      <c r="C279" s="26"/>
      <c r="D279" s="1"/>
      <c r="E279" s="6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</row>
    <row r="280" spans="1:35" ht="16.5" x14ac:dyDescent="0.3">
      <c r="A280" s="45"/>
      <c r="B280" s="45"/>
      <c r="C280" s="45"/>
      <c r="D280" s="1"/>
      <c r="E280" s="1">
        <f t="shared" ref="E280:V280" si="74">MAX(D280)+NoOne</f>
        <v>1</v>
      </c>
      <c r="F280" s="1">
        <f t="shared" si="74"/>
        <v>2</v>
      </c>
      <c r="G280" s="1">
        <f t="shared" si="74"/>
        <v>3</v>
      </c>
      <c r="H280" s="1">
        <f t="shared" si="74"/>
        <v>4</v>
      </c>
      <c r="I280" s="1">
        <f t="shared" si="74"/>
        <v>5</v>
      </c>
      <c r="J280" s="1">
        <f t="shared" si="74"/>
        <v>6</v>
      </c>
      <c r="K280" s="1">
        <f t="shared" si="74"/>
        <v>7</v>
      </c>
      <c r="L280" s="1">
        <f t="shared" si="74"/>
        <v>8</v>
      </c>
      <c r="M280" s="1">
        <f t="shared" si="74"/>
        <v>9</v>
      </c>
      <c r="N280" s="1">
        <f t="shared" si="74"/>
        <v>10</v>
      </c>
      <c r="O280" s="1">
        <f t="shared" si="74"/>
        <v>11</v>
      </c>
      <c r="P280" s="1">
        <f t="shared" si="74"/>
        <v>12</v>
      </c>
      <c r="Q280" s="1">
        <f t="shared" si="74"/>
        <v>13</v>
      </c>
      <c r="R280" s="1">
        <f t="shared" si="74"/>
        <v>14</v>
      </c>
      <c r="S280" s="1">
        <f t="shared" si="74"/>
        <v>15</v>
      </c>
      <c r="T280" s="1">
        <f t="shared" si="74"/>
        <v>16</v>
      </c>
      <c r="U280" s="1">
        <f t="shared" si="74"/>
        <v>17</v>
      </c>
      <c r="V280" s="1">
        <f t="shared" si="74"/>
        <v>18</v>
      </c>
      <c r="X280" s="6"/>
      <c r="Y280" s="6"/>
      <c r="Z280" s="6"/>
      <c r="AA280" s="6"/>
      <c r="AB280" s="6"/>
      <c r="AC280" s="1">
        <v>1</v>
      </c>
      <c r="AD280" s="13"/>
      <c r="AE280" s="1">
        <v>19</v>
      </c>
      <c r="AF280" s="1">
        <v>20</v>
      </c>
      <c r="AG280" s="13"/>
      <c r="AH280" s="1">
        <v>21</v>
      </c>
      <c r="AI280" s="6"/>
    </row>
    <row r="281" spans="1:35" s="12" customFormat="1" ht="16.5" x14ac:dyDescent="0.3">
      <c r="A281" s="45"/>
      <c r="B281" s="45"/>
      <c r="C281" s="46"/>
      <c r="D281" s="1"/>
      <c r="E281" s="13"/>
      <c r="F281" s="25"/>
      <c r="G281" s="13"/>
      <c r="H281" s="25"/>
      <c r="I281" s="13"/>
      <c r="J281" s="13" t="s">
        <v>8</v>
      </c>
      <c r="K281" s="47" t="s">
        <v>9</v>
      </c>
      <c r="L281" s="47"/>
      <c r="M281" s="47"/>
      <c r="N281" s="47"/>
      <c r="O281" s="47"/>
      <c r="P281" s="47"/>
      <c r="Q281" s="47"/>
      <c r="R281" s="47"/>
      <c r="S281" s="47"/>
      <c r="T281" s="47"/>
      <c r="U281" s="23"/>
      <c r="V281" s="25" t="s">
        <v>10</v>
      </c>
      <c r="X281" s="13"/>
      <c r="Y281" s="13"/>
      <c r="Z281" s="13"/>
      <c r="AA281" s="13"/>
      <c r="AB281" s="13"/>
      <c r="AE281" s="78" t="s">
        <v>135</v>
      </c>
      <c r="AF281" s="78"/>
      <c r="AI281" s="13"/>
    </row>
    <row r="282" spans="1:35" s="12" customFormat="1" ht="16.5" x14ac:dyDescent="0.3">
      <c r="A282" s="45"/>
      <c r="B282" s="45"/>
      <c r="C282" s="46"/>
      <c r="D282" s="1" t="s">
        <v>14</v>
      </c>
      <c r="E282" s="13"/>
      <c r="F282" s="25" t="s">
        <v>15</v>
      </c>
      <c r="G282" s="13" t="s">
        <v>16</v>
      </c>
      <c r="H282" s="25" t="s">
        <v>16</v>
      </c>
      <c r="I282" s="13" t="s">
        <v>17</v>
      </c>
      <c r="J282" s="25" t="s">
        <v>17</v>
      </c>
      <c r="K282" s="25" t="s">
        <v>18</v>
      </c>
      <c r="L282" s="47" t="s">
        <v>19</v>
      </c>
      <c r="M282" s="47"/>
      <c r="N282" s="47" t="s">
        <v>20</v>
      </c>
      <c r="O282" s="47"/>
      <c r="P282" s="47" t="s">
        <v>21</v>
      </c>
      <c r="Q282" s="47"/>
      <c r="R282" s="48" t="s">
        <v>22</v>
      </c>
      <c r="S282" s="48" t="s">
        <v>23</v>
      </c>
      <c r="T282" s="49" t="s">
        <v>24</v>
      </c>
      <c r="U282" s="48" t="s">
        <v>25</v>
      </c>
      <c r="V282" s="25" t="s">
        <v>26</v>
      </c>
      <c r="X282" s="13"/>
      <c r="Y282" s="13"/>
      <c r="Z282" s="13"/>
      <c r="AA282" s="13"/>
      <c r="AB282" s="13"/>
      <c r="AC282" s="13"/>
      <c r="AD282" s="13"/>
      <c r="AE282" s="13" t="s">
        <v>136</v>
      </c>
      <c r="AF282" s="13" t="s">
        <v>137</v>
      </c>
      <c r="AG282" s="13"/>
      <c r="AH282" s="13"/>
      <c r="AI282" s="13"/>
    </row>
    <row r="283" spans="1:35" s="12" customFormat="1" ht="16.5" x14ac:dyDescent="0.3">
      <c r="A283" s="79"/>
      <c r="B283" s="79"/>
      <c r="C283" s="46"/>
      <c r="D283" s="1" t="s">
        <v>30</v>
      </c>
      <c r="E283" s="75" t="s">
        <v>31</v>
      </c>
      <c r="F283" s="25" t="s">
        <v>32</v>
      </c>
      <c r="G283" s="25" t="s">
        <v>33</v>
      </c>
      <c r="H283" s="25" t="s">
        <v>34</v>
      </c>
      <c r="I283" s="13" t="s">
        <v>33</v>
      </c>
      <c r="J283" s="25" t="s">
        <v>33</v>
      </c>
      <c r="K283" s="25" t="s">
        <v>33</v>
      </c>
      <c r="L283" s="25" t="s">
        <v>33</v>
      </c>
      <c r="M283" s="25" t="s">
        <v>35</v>
      </c>
      <c r="N283" s="25" t="s">
        <v>33</v>
      </c>
      <c r="O283" s="25" t="s">
        <v>35</v>
      </c>
      <c r="P283" s="25" t="s">
        <v>33</v>
      </c>
      <c r="Q283" s="25" t="s">
        <v>35</v>
      </c>
      <c r="R283" s="25" t="s">
        <v>35</v>
      </c>
      <c r="S283" s="25" t="s">
        <v>35</v>
      </c>
      <c r="T283" s="25" t="s">
        <v>35</v>
      </c>
      <c r="U283" s="25" t="s">
        <v>35</v>
      </c>
      <c r="V283" s="25" t="s">
        <v>35</v>
      </c>
      <c r="X283" s="13"/>
      <c r="Y283" s="13"/>
      <c r="Z283" s="13"/>
      <c r="AA283" s="13"/>
      <c r="AB283" s="13"/>
      <c r="AC283" s="75" t="s">
        <v>31</v>
      </c>
      <c r="AD283" s="13"/>
      <c r="AE283" s="13" t="s">
        <v>138</v>
      </c>
      <c r="AF283" s="13" t="s">
        <v>139</v>
      </c>
      <c r="AG283" s="13"/>
      <c r="AH283" s="17" t="s">
        <v>36</v>
      </c>
      <c r="AI283" s="13"/>
    </row>
    <row r="284" spans="1:35" s="12" customFormat="1" ht="16.5" x14ac:dyDescent="0.3">
      <c r="A284" s="45"/>
      <c r="B284" s="45"/>
      <c r="C284" s="46"/>
      <c r="D284" s="1"/>
      <c r="E284" s="13"/>
      <c r="F284" s="25" t="s">
        <v>37</v>
      </c>
      <c r="G284" s="25" t="s">
        <v>37</v>
      </c>
      <c r="H284" s="25" t="s">
        <v>37</v>
      </c>
      <c r="I284" s="13" t="s">
        <v>37</v>
      </c>
      <c r="J284" s="25" t="s">
        <v>37</v>
      </c>
      <c r="K284" s="25" t="s">
        <v>37</v>
      </c>
      <c r="L284" s="25" t="s">
        <v>37</v>
      </c>
      <c r="M284" s="25" t="s">
        <v>37</v>
      </c>
      <c r="N284" s="25" t="s">
        <v>37</v>
      </c>
      <c r="O284" s="25" t="s">
        <v>37</v>
      </c>
      <c r="P284" s="25" t="s">
        <v>37</v>
      </c>
      <c r="Q284" s="25" t="s">
        <v>37</v>
      </c>
      <c r="R284" s="25" t="s">
        <v>37</v>
      </c>
      <c r="S284" s="25" t="s">
        <v>37</v>
      </c>
      <c r="T284" s="25" t="s">
        <v>37</v>
      </c>
      <c r="U284" s="25" t="s">
        <v>37</v>
      </c>
      <c r="V284" s="25" t="s">
        <v>37</v>
      </c>
      <c r="X284" s="13"/>
      <c r="Y284" s="13"/>
      <c r="Z284" s="13"/>
      <c r="AA284" s="13"/>
      <c r="AB284" s="13"/>
      <c r="AC284" s="13"/>
      <c r="AD284" s="13"/>
      <c r="AF284" s="13"/>
      <c r="AG284" s="13"/>
      <c r="AH284" s="13"/>
      <c r="AI284" s="13"/>
    </row>
    <row r="285" spans="1:35" ht="16.5" x14ac:dyDescent="0.3">
      <c r="A285" s="28"/>
      <c r="B285" s="28"/>
      <c r="C285" s="26"/>
      <c r="D285" s="1"/>
      <c r="E285" s="20" t="s">
        <v>166</v>
      </c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X285" s="6"/>
      <c r="Y285" s="6"/>
      <c r="Z285" s="6"/>
      <c r="AA285" s="6"/>
      <c r="AB285" s="6"/>
      <c r="AC285" s="1" t="str">
        <f t="shared" ref="AC285:AC322" si="75">IF(ISBLANK(E285),"",E285)</f>
        <v>Expenses</v>
      </c>
      <c r="AD285" s="20"/>
      <c r="AF285" s="6"/>
      <c r="AG285" s="6"/>
      <c r="AH285" s="6"/>
      <c r="AI285" s="6"/>
    </row>
    <row r="286" spans="1:35" ht="16.5" x14ac:dyDescent="0.3">
      <c r="A286" s="28"/>
      <c r="B286" s="28"/>
      <c r="C286" s="26"/>
      <c r="D286" s="1">
        <f t="shared" ref="D286:D299" si="76">MAX(D283:D285)+NoOne</f>
        <v>1</v>
      </c>
      <c r="E286" s="17" t="s">
        <v>167</v>
      </c>
      <c r="F286" s="22">
        <f>SUM(G286:AF286)</f>
        <v>120418337.08183236</v>
      </c>
      <c r="G286" s="22">
        <f>G$270</f>
        <v>54298911.797054633</v>
      </c>
      <c r="H286" s="22">
        <f>H$270</f>
        <v>19682217.048161283</v>
      </c>
      <c r="I286" s="22">
        <f>I$270</f>
        <v>24800061.24220904</v>
      </c>
      <c r="J286" s="22">
        <f t="shared" ref="J286:V286" si="77">J$270</f>
        <v>3485290.3754647272</v>
      </c>
      <c r="K286" s="22">
        <f t="shared" si="77"/>
        <v>2469383.2439676193</v>
      </c>
      <c r="L286" s="22">
        <f t="shared" si="77"/>
        <v>4736713.1067818049</v>
      </c>
      <c r="M286" s="22">
        <f t="shared" si="77"/>
        <v>1292255.1099860144</v>
      </c>
      <c r="N286" s="22">
        <f t="shared" si="77"/>
        <v>394986.58485628938</v>
      </c>
      <c r="O286" s="22">
        <f t="shared" si="77"/>
        <v>699159.07956556487</v>
      </c>
      <c r="P286" s="22">
        <f t="shared" si="77"/>
        <v>684342.77184979548</v>
      </c>
      <c r="Q286" s="22">
        <f t="shared" si="77"/>
        <v>776616.12497115787</v>
      </c>
      <c r="R286" s="22">
        <f t="shared" si="77"/>
        <v>228065.51509416613</v>
      </c>
      <c r="S286" s="22">
        <f t="shared" si="77"/>
        <v>610124.42471202812</v>
      </c>
      <c r="T286" s="22">
        <f t="shared" si="77"/>
        <v>194602.26192676296</v>
      </c>
      <c r="U286" s="22">
        <f t="shared" si="77"/>
        <v>3119142.9996680859</v>
      </c>
      <c r="V286" s="22">
        <f t="shared" si="77"/>
        <v>532535.06793316943</v>
      </c>
      <c r="X286" s="6"/>
      <c r="Y286" s="6"/>
      <c r="Z286" s="25"/>
      <c r="AA286" s="6"/>
      <c r="AB286" s="6"/>
      <c r="AC286" s="75" t="str">
        <f t="shared" si="75"/>
        <v>Operating &amp; Maintenance</v>
      </c>
      <c r="AD286" s="75"/>
      <c r="AE286" s="22">
        <f>AE$270</f>
        <v>1436329.2993722465</v>
      </c>
      <c r="AF286" s="22">
        <f>AF$270</f>
        <v>977601.02825796138</v>
      </c>
      <c r="AG286" s="6"/>
      <c r="AH286" s="6" t="str">
        <f>"Carryforward from Sch F 2.4 L."&amp;D270</f>
        <v>Carryforward from Sch F 2.4 L.30</v>
      </c>
      <c r="AI286" s="6"/>
    </row>
    <row r="287" spans="1:35" ht="16.5" x14ac:dyDescent="0.3">
      <c r="A287" s="28"/>
      <c r="B287" s="28"/>
      <c r="C287" s="26" t="s">
        <v>168</v>
      </c>
      <c r="D287" s="1">
        <f t="shared" si="76"/>
        <v>2</v>
      </c>
      <c r="E287" s="27" t="s">
        <v>169</v>
      </c>
      <c r="F287" s="22">
        <v>65010009.147377841</v>
      </c>
      <c r="G287" s="23">
        <v>0</v>
      </c>
      <c r="H287" s="23">
        <v>65010009.147377841</v>
      </c>
      <c r="I287" s="22">
        <v>0</v>
      </c>
      <c r="J287" s="22">
        <v>0</v>
      </c>
      <c r="K287" s="22">
        <v>0</v>
      </c>
      <c r="L287" s="22">
        <v>0</v>
      </c>
      <c r="M287" s="22">
        <v>0</v>
      </c>
      <c r="N287" s="22">
        <v>0</v>
      </c>
      <c r="O287" s="22">
        <v>0</v>
      </c>
      <c r="P287" s="22">
        <v>0</v>
      </c>
      <c r="Q287" s="22">
        <v>0</v>
      </c>
      <c r="R287" s="22">
        <v>0</v>
      </c>
      <c r="S287" s="22">
        <v>0</v>
      </c>
      <c r="T287" s="22">
        <v>0</v>
      </c>
      <c r="U287" s="22">
        <v>0</v>
      </c>
      <c r="V287" s="22">
        <v>0</v>
      </c>
      <c r="X287" s="6"/>
      <c r="Y287" s="6"/>
      <c r="Z287" s="25"/>
      <c r="AA287" s="6"/>
      <c r="AB287" s="6"/>
      <c r="AC287" s="75" t="str">
        <f t="shared" si="75"/>
        <v>Fuels-No. 6 Fuel</v>
      </c>
      <c r="AD287" s="75"/>
      <c r="AE287" s="22">
        <v>0</v>
      </c>
      <c r="AF287" s="22">
        <v>0</v>
      </c>
      <c r="AG287" s="6"/>
      <c r="AH287" s="6" t="s">
        <v>516</v>
      </c>
      <c r="AI287" s="6"/>
    </row>
    <row r="288" spans="1:35" ht="16.5" x14ac:dyDescent="0.3">
      <c r="A288" s="28"/>
      <c r="B288" s="28"/>
      <c r="C288" s="26" t="s">
        <v>170</v>
      </c>
      <c r="D288" s="1">
        <f t="shared" si="76"/>
        <v>3</v>
      </c>
      <c r="E288" s="27" t="s">
        <v>171</v>
      </c>
      <c r="F288" s="22">
        <v>2016430.2221431979</v>
      </c>
      <c r="G288" s="23">
        <v>2016430.2221431979</v>
      </c>
      <c r="H288" s="23">
        <v>0</v>
      </c>
      <c r="I288" s="22">
        <v>0</v>
      </c>
      <c r="J288" s="23">
        <v>0</v>
      </c>
      <c r="K288" s="22">
        <v>0</v>
      </c>
      <c r="L288" s="22">
        <v>0</v>
      </c>
      <c r="M288" s="22">
        <v>0</v>
      </c>
      <c r="N288" s="22">
        <v>0</v>
      </c>
      <c r="O288" s="22">
        <v>0</v>
      </c>
      <c r="P288" s="22">
        <v>0</v>
      </c>
      <c r="Q288" s="22">
        <v>0</v>
      </c>
      <c r="R288" s="22">
        <v>0</v>
      </c>
      <c r="S288" s="22">
        <v>0</v>
      </c>
      <c r="T288" s="22">
        <v>0</v>
      </c>
      <c r="U288" s="22">
        <v>0</v>
      </c>
      <c r="V288" s="22">
        <v>0</v>
      </c>
      <c r="X288" s="6"/>
      <c r="Y288" s="6"/>
      <c r="Z288" s="25"/>
      <c r="AA288" s="6"/>
      <c r="AB288" s="6"/>
      <c r="AC288" s="75" t="str">
        <f t="shared" si="75"/>
        <v>Fuels-Diesel</v>
      </c>
      <c r="AD288" s="75"/>
      <c r="AE288" s="22">
        <v>0</v>
      </c>
      <c r="AF288" s="22">
        <v>0</v>
      </c>
      <c r="AG288" s="6"/>
      <c r="AH288" s="6" t="s">
        <v>517</v>
      </c>
      <c r="AI288" s="6"/>
    </row>
    <row r="289" spans="1:35" ht="16.5" x14ac:dyDescent="0.3">
      <c r="A289" s="28"/>
      <c r="B289" s="28"/>
      <c r="C289" s="26" t="s">
        <v>172</v>
      </c>
      <c r="D289" s="1">
        <f t="shared" si="76"/>
        <v>4</v>
      </c>
      <c r="E289" s="27" t="s">
        <v>173</v>
      </c>
      <c r="F289" s="22">
        <v>18829333.461108193</v>
      </c>
      <c r="G289" s="23">
        <v>18829333.461108193</v>
      </c>
      <c r="H289" s="23">
        <v>0</v>
      </c>
      <c r="I289" s="22">
        <v>0</v>
      </c>
      <c r="J289" s="22">
        <v>0</v>
      </c>
      <c r="K289" s="22">
        <v>0</v>
      </c>
      <c r="L289" s="22">
        <v>0</v>
      </c>
      <c r="M289" s="22">
        <v>0</v>
      </c>
      <c r="N289" s="22">
        <v>0</v>
      </c>
      <c r="O289" s="22">
        <v>0</v>
      </c>
      <c r="P289" s="22">
        <v>0</v>
      </c>
      <c r="Q289" s="22">
        <v>0</v>
      </c>
      <c r="R289" s="22">
        <v>0</v>
      </c>
      <c r="S289" s="22">
        <v>0</v>
      </c>
      <c r="T289" s="22">
        <v>0</v>
      </c>
      <c r="U289" s="22">
        <v>0</v>
      </c>
      <c r="V289" s="22">
        <v>0</v>
      </c>
      <c r="X289" s="6"/>
      <c r="Y289" s="6"/>
      <c r="Z289" s="25"/>
      <c r="AA289" s="6"/>
      <c r="AB289" s="6"/>
      <c r="AC289" s="75" t="str">
        <f t="shared" si="75"/>
        <v>Fuels-Gas Turbine</v>
      </c>
      <c r="AD289" s="75"/>
      <c r="AE289" s="22">
        <v>0</v>
      </c>
      <c r="AF289" s="22">
        <v>0</v>
      </c>
      <c r="AG289" s="6"/>
      <c r="AH289" s="6" t="s">
        <v>518</v>
      </c>
      <c r="AI289" s="6"/>
    </row>
    <row r="290" spans="1:35" ht="16.5" x14ac:dyDescent="0.3">
      <c r="A290" s="28"/>
      <c r="B290" s="28"/>
      <c r="C290" s="26"/>
      <c r="D290" s="1">
        <f t="shared" si="76"/>
        <v>5</v>
      </c>
      <c r="E290" s="27" t="s">
        <v>174</v>
      </c>
      <c r="F290" s="22">
        <v>0</v>
      </c>
      <c r="G290" s="23">
        <f>IF(MarginalCostSwitch,0,$F290)</f>
        <v>0</v>
      </c>
      <c r="H290" s="23">
        <f>F290-G290</f>
        <v>0</v>
      </c>
      <c r="I290" s="23">
        <v>0</v>
      </c>
      <c r="J290" s="22">
        <v>0</v>
      </c>
      <c r="K290" s="22">
        <v>0</v>
      </c>
      <c r="L290" s="22">
        <v>0</v>
      </c>
      <c r="M290" s="22">
        <v>0</v>
      </c>
      <c r="N290" s="22">
        <v>0</v>
      </c>
      <c r="O290" s="22">
        <v>0</v>
      </c>
      <c r="P290" s="22">
        <v>0</v>
      </c>
      <c r="Q290" s="22">
        <v>0</v>
      </c>
      <c r="R290" s="22">
        <v>0</v>
      </c>
      <c r="S290" s="22">
        <v>0</v>
      </c>
      <c r="T290" s="22">
        <v>0</v>
      </c>
      <c r="U290" s="22">
        <v>0</v>
      </c>
      <c r="V290" s="22">
        <v>0</v>
      </c>
      <c r="X290" s="6"/>
      <c r="Y290" s="6"/>
      <c r="Z290" s="25"/>
      <c r="AA290" s="6"/>
      <c r="AB290" s="6"/>
      <c r="AC290" s="75" t="str">
        <f t="shared" si="75"/>
        <v>Fuel Supply Deferral</v>
      </c>
      <c r="AD290" s="75"/>
      <c r="AE290" s="22">
        <v>0</v>
      </c>
      <c r="AF290" s="22">
        <v>0</v>
      </c>
      <c r="AG290" s="6"/>
      <c r="AH290" s="6"/>
      <c r="AI290" s="6"/>
    </row>
    <row r="291" spans="1:35" ht="16.5" customHeight="1" x14ac:dyDescent="0.3">
      <c r="A291" s="28"/>
      <c r="B291" s="28"/>
      <c r="C291" s="26"/>
      <c r="D291" s="1">
        <f t="shared" si="76"/>
        <v>6</v>
      </c>
      <c r="E291" s="80" t="s">
        <v>175</v>
      </c>
      <c r="F291" s="22">
        <f t="shared" ref="F291:F299" si="78">SUM(G291:AF291)</f>
        <v>0</v>
      </c>
      <c r="G291" s="22">
        <v>0</v>
      </c>
      <c r="H291" s="22">
        <v>0</v>
      </c>
      <c r="I291" s="22">
        <v>0</v>
      </c>
      <c r="J291" s="22">
        <v>0</v>
      </c>
      <c r="K291" s="22">
        <v>0</v>
      </c>
      <c r="L291" s="22">
        <v>0</v>
      </c>
      <c r="M291" s="22">
        <v>0</v>
      </c>
      <c r="N291" s="22">
        <v>0</v>
      </c>
      <c r="O291" s="22">
        <v>0</v>
      </c>
      <c r="P291" s="22">
        <v>0</v>
      </c>
      <c r="Q291" s="22">
        <v>0</v>
      </c>
      <c r="R291" s="22">
        <v>0</v>
      </c>
      <c r="S291" s="22">
        <v>0</v>
      </c>
      <c r="T291" s="22">
        <v>0</v>
      </c>
      <c r="U291" s="22">
        <v>0</v>
      </c>
      <c r="V291" s="22">
        <v>0</v>
      </c>
      <c r="X291" s="6"/>
      <c r="Y291" s="6"/>
      <c r="Z291" s="25"/>
      <c r="AA291" s="6"/>
      <c r="AB291" s="6"/>
      <c r="AC291" s="75" t="str">
        <f t="shared" si="75"/>
        <v>Power Purchases -CF(L)Co</v>
      </c>
      <c r="AD291" s="75"/>
      <c r="AE291" s="22">
        <v>0</v>
      </c>
      <c r="AF291" s="22">
        <v>0</v>
      </c>
      <c r="AG291" s="6"/>
      <c r="AH291" s="6"/>
      <c r="AI291" s="6"/>
    </row>
    <row r="292" spans="1:35" ht="16.5" x14ac:dyDescent="0.3">
      <c r="A292" s="28"/>
      <c r="B292" s="28"/>
      <c r="C292" s="26"/>
      <c r="D292" s="1">
        <f t="shared" si="76"/>
        <v>7</v>
      </c>
      <c r="E292" s="17" t="s">
        <v>176</v>
      </c>
      <c r="F292" s="22">
        <f t="shared" si="78"/>
        <v>60766345.572633706</v>
      </c>
      <c r="G292" s="22">
        <v>32646808.166082006</v>
      </c>
      <c r="H292" s="22">
        <v>27159537.4065517</v>
      </c>
      <c r="I292" s="22">
        <v>0</v>
      </c>
      <c r="J292" s="22">
        <v>960000</v>
      </c>
      <c r="K292" s="22">
        <v>0</v>
      </c>
      <c r="L292" s="22">
        <v>0</v>
      </c>
      <c r="M292" s="22">
        <v>0</v>
      </c>
      <c r="N292" s="22">
        <v>0</v>
      </c>
      <c r="O292" s="22">
        <v>0</v>
      </c>
      <c r="P292" s="22">
        <v>0</v>
      </c>
      <c r="Q292" s="22">
        <v>0</v>
      </c>
      <c r="R292" s="22">
        <v>0</v>
      </c>
      <c r="S292" s="22">
        <v>0</v>
      </c>
      <c r="T292" s="22">
        <v>0</v>
      </c>
      <c r="U292" s="22">
        <v>0</v>
      </c>
      <c r="V292" s="22">
        <v>0</v>
      </c>
      <c r="X292" s="6"/>
      <c r="Y292" s="6"/>
      <c r="Z292" s="25"/>
      <c r="AA292" s="6"/>
      <c r="AB292" s="6"/>
      <c r="AC292" s="75" t="str">
        <f t="shared" si="75"/>
        <v>Power Purchases-Other</v>
      </c>
      <c r="AD292" s="75"/>
      <c r="AE292" s="22">
        <v>0</v>
      </c>
      <c r="AF292" s="22">
        <v>0</v>
      </c>
      <c r="AG292" s="6"/>
      <c r="AH292" s="6" t="s">
        <v>558</v>
      </c>
      <c r="AI292" s="6"/>
    </row>
    <row r="293" spans="1:35" ht="16.5" x14ac:dyDescent="0.3">
      <c r="A293" s="28"/>
      <c r="B293" s="28"/>
      <c r="C293" s="26"/>
      <c r="D293" s="1">
        <f t="shared" si="76"/>
        <v>8</v>
      </c>
      <c r="E293" s="17" t="s">
        <v>177</v>
      </c>
      <c r="F293" s="22">
        <f t="shared" si="78"/>
        <v>269134555.84989369</v>
      </c>
      <c r="G293" s="22">
        <v>133794097.71196806</v>
      </c>
      <c r="H293" s="22">
        <v>135340458.13792562</v>
      </c>
      <c r="I293" s="22">
        <v>0</v>
      </c>
      <c r="J293" s="22">
        <v>0</v>
      </c>
      <c r="K293" s="22">
        <v>0</v>
      </c>
      <c r="L293" s="22">
        <v>0</v>
      </c>
      <c r="M293" s="22">
        <v>0</v>
      </c>
      <c r="N293" s="22">
        <v>0</v>
      </c>
      <c r="O293" s="22">
        <v>0</v>
      </c>
      <c r="P293" s="22">
        <v>0</v>
      </c>
      <c r="Q293" s="22">
        <v>0</v>
      </c>
      <c r="R293" s="22">
        <v>0</v>
      </c>
      <c r="S293" s="22">
        <v>0</v>
      </c>
      <c r="T293" s="22">
        <v>0</v>
      </c>
      <c r="U293" s="22">
        <v>0</v>
      </c>
      <c r="V293" s="22">
        <v>0</v>
      </c>
      <c r="X293" s="6"/>
      <c r="Y293" s="6"/>
      <c r="Z293" s="25"/>
      <c r="AA293" s="6"/>
      <c r="AB293" s="6"/>
      <c r="AC293" s="75" t="str">
        <f t="shared" si="75"/>
        <v>Power Purchases-MF</v>
      </c>
      <c r="AD293" s="75"/>
      <c r="AE293" s="22">
        <v>0</v>
      </c>
      <c r="AF293" s="22">
        <v>0</v>
      </c>
      <c r="AG293" s="6"/>
      <c r="AH293" s="6" t="s">
        <v>559</v>
      </c>
      <c r="AI293" s="6"/>
    </row>
    <row r="294" spans="1:35" ht="16.5" x14ac:dyDescent="0.3">
      <c r="A294" s="28"/>
      <c r="B294" s="28"/>
      <c r="C294" s="26"/>
      <c r="D294" s="1">
        <f t="shared" si="76"/>
        <v>9</v>
      </c>
      <c r="E294" s="17" t="s">
        <v>178</v>
      </c>
      <c r="F294" s="22">
        <f t="shared" si="78"/>
        <v>-40178593</v>
      </c>
      <c r="G294" s="22">
        <v>-19973869.876336504</v>
      </c>
      <c r="H294" s="22">
        <v>-20204723.123663496</v>
      </c>
      <c r="I294" s="22">
        <v>0</v>
      </c>
      <c r="J294" s="22">
        <v>0</v>
      </c>
      <c r="K294" s="22">
        <v>0</v>
      </c>
      <c r="L294" s="22">
        <v>0</v>
      </c>
      <c r="M294" s="22">
        <v>0</v>
      </c>
      <c r="N294" s="22">
        <v>0</v>
      </c>
      <c r="O294" s="22">
        <v>0</v>
      </c>
      <c r="P294" s="22">
        <v>0</v>
      </c>
      <c r="Q294" s="22">
        <v>0</v>
      </c>
      <c r="R294" s="22">
        <v>0</v>
      </c>
      <c r="S294" s="22">
        <v>0</v>
      </c>
      <c r="T294" s="22">
        <v>0</v>
      </c>
      <c r="U294" s="22">
        <v>0</v>
      </c>
      <c r="V294" s="22">
        <v>0</v>
      </c>
      <c r="X294" s="6"/>
      <c r="Y294" s="6"/>
      <c r="Z294" s="25"/>
      <c r="AA294" s="6"/>
      <c r="AB294" s="6"/>
      <c r="AC294" s="75" t="s">
        <v>178</v>
      </c>
      <c r="AD294" s="75"/>
      <c r="AE294" s="22">
        <v>0</v>
      </c>
      <c r="AF294" s="22">
        <v>0</v>
      </c>
      <c r="AG294" s="6"/>
      <c r="AH294" s="6"/>
      <c r="AI294" s="6"/>
    </row>
    <row r="295" spans="1:35" ht="16.5" x14ac:dyDescent="0.3">
      <c r="A295" s="28"/>
      <c r="B295" s="28"/>
      <c r="C295" s="81"/>
      <c r="D295" s="1">
        <f t="shared" si="76"/>
        <v>10</v>
      </c>
      <c r="E295" s="17" t="s">
        <v>179</v>
      </c>
      <c r="F295" s="22">
        <f t="shared" si="78"/>
        <v>46146683.150106318</v>
      </c>
      <c r="G295" s="22">
        <v>22940769.590034023</v>
      </c>
      <c r="H295" s="22">
        <v>23205913.560072295</v>
      </c>
      <c r="I295" s="22">
        <v>0</v>
      </c>
      <c r="J295" s="22">
        <v>0</v>
      </c>
      <c r="K295" s="22">
        <v>0</v>
      </c>
      <c r="L295" s="22">
        <v>0</v>
      </c>
      <c r="M295" s="22">
        <v>0</v>
      </c>
      <c r="N295" s="22">
        <v>0</v>
      </c>
      <c r="O295" s="22">
        <v>0</v>
      </c>
      <c r="P295" s="22">
        <v>0</v>
      </c>
      <c r="Q295" s="22">
        <v>0</v>
      </c>
      <c r="R295" s="22">
        <v>0</v>
      </c>
      <c r="S295" s="22">
        <v>0</v>
      </c>
      <c r="T295" s="22">
        <v>0</v>
      </c>
      <c r="U295" s="22">
        <v>0</v>
      </c>
      <c r="V295" s="22">
        <v>0</v>
      </c>
      <c r="X295" s="6"/>
      <c r="Y295" s="6"/>
      <c r="Z295" s="25"/>
      <c r="AA295" s="6"/>
      <c r="AB295" s="6"/>
      <c r="AC295" s="75" t="s">
        <v>179</v>
      </c>
      <c r="AD295" s="75"/>
      <c r="AE295" s="22">
        <v>0</v>
      </c>
      <c r="AF295" s="22">
        <v>0</v>
      </c>
      <c r="AG295" s="6"/>
      <c r="AH295" s="6"/>
      <c r="AI295" s="6"/>
    </row>
    <row r="296" spans="1:35" ht="16.5" x14ac:dyDescent="0.3">
      <c r="A296" s="28"/>
      <c r="B296" s="28"/>
      <c r="C296" s="26"/>
      <c r="D296" s="1">
        <f t="shared" si="76"/>
        <v>11</v>
      </c>
      <c r="E296" s="17" t="s">
        <v>180</v>
      </c>
      <c r="F296" s="22">
        <f t="shared" si="78"/>
        <v>465082406</v>
      </c>
      <c r="G296" s="22">
        <v>231205096.18685511</v>
      </c>
      <c r="H296" s="22">
        <v>233877309.81314489</v>
      </c>
      <c r="I296" s="22">
        <v>0</v>
      </c>
      <c r="J296" s="22">
        <v>0</v>
      </c>
      <c r="K296" s="22">
        <v>0</v>
      </c>
      <c r="L296" s="22">
        <v>0</v>
      </c>
      <c r="M296" s="22">
        <v>0</v>
      </c>
      <c r="N296" s="22">
        <v>0</v>
      </c>
      <c r="O296" s="22">
        <v>0</v>
      </c>
      <c r="P296" s="22">
        <v>0</v>
      </c>
      <c r="Q296" s="22">
        <v>0</v>
      </c>
      <c r="R296" s="22">
        <v>0</v>
      </c>
      <c r="S296" s="22">
        <v>0</v>
      </c>
      <c r="T296" s="22">
        <v>0</v>
      </c>
      <c r="U296" s="22">
        <v>0</v>
      </c>
      <c r="V296" s="22">
        <v>0</v>
      </c>
      <c r="X296" s="6"/>
      <c r="Y296" s="6"/>
      <c r="Z296" s="25"/>
      <c r="AA296" s="6"/>
      <c r="AB296" s="6"/>
      <c r="AC296" s="75" t="str">
        <f t="shared" si="75"/>
        <v>Power Purchases - LIL Costs</v>
      </c>
      <c r="AD296" s="75"/>
      <c r="AE296" s="22">
        <v>0</v>
      </c>
      <c r="AF296" s="22">
        <v>0</v>
      </c>
      <c r="AG296" s="6"/>
      <c r="AH296" s="6" t="s">
        <v>560</v>
      </c>
      <c r="AI296" s="6"/>
    </row>
    <row r="297" spans="1:35" ht="16.5" x14ac:dyDescent="0.3">
      <c r="A297" s="28"/>
      <c r="B297" s="28"/>
      <c r="C297" s="26"/>
      <c r="D297" s="1">
        <f t="shared" si="76"/>
        <v>12</v>
      </c>
      <c r="E297" s="17" t="s">
        <v>181</v>
      </c>
      <c r="F297" s="22">
        <f t="shared" si="78"/>
        <v>-501963983.38407272</v>
      </c>
      <c r="G297" s="22">
        <v>-249539930.04984039</v>
      </c>
      <c r="H297" s="22">
        <v>-252424053.33423233</v>
      </c>
      <c r="I297" s="22">
        <v>0</v>
      </c>
      <c r="J297" s="22">
        <v>0</v>
      </c>
      <c r="K297" s="22">
        <v>0</v>
      </c>
      <c r="L297" s="22">
        <v>0</v>
      </c>
      <c r="M297" s="22">
        <v>0</v>
      </c>
      <c r="N297" s="22">
        <v>0</v>
      </c>
      <c r="O297" s="22">
        <v>0</v>
      </c>
      <c r="P297" s="22">
        <v>0</v>
      </c>
      <c r="Q297" s="22">
        <v>0</v>
      </c>
      <c r="R297" s="22">
        <v>0</v>
      </c>
      <c r="S297" s="22">
        <v>0</v>
      </c>
      <c r="T297" s="22">
        <v>0</v>
      </c>
      <c r="U297" s="22">
        <v>0</v>
      </c>
      <c r="V297" s="22">
        <v>0</v>
      </c>
      <c r="X297" s="6"/>
      <c r="Y297" s="6"/>
      <c r="Z297" s="25"/>
      <c r="AA297" s="6"/>
      <c r="AB297" s="6"/>
      <c r="AC297" s="75" t="s">
        <v>181</v>
      </c>
      <c r="AD297" s="75"/>
      <c r="AE297" s="22">
        <v>0</v>
      </c>
      <c r="AF297" s="22">
        <v>0</v>
      </c>
      <c r="AG297" s="6"/>
      <c r="AH297" s="6"/>
      <c r="AI297" s="6"/>
    </row>
    <row r="298" spans="1:35" ht="16.5" x14ac:dyDescent="0.3">
      <c r="A298" s="28"/>
      <c r="B298" s="28"/>
      <c r="C298" s="26"/>
      <c r="D298" s="1">
        <f t="shared" si="76"/>
        <v>13</v>
      </c>
      <c r="E298" s="17" t="s">
        <v>182</v>
      </c>
      <c r="F298" s="22">
        <f t="shared" si="78"/>
        <v>-18337593</v>
      </c>
      <c r="G298" s="22">
        <v>-9116115.5500696395</v>
      </c>
      <c r="H298" s="22">
        <v>-9221477.4499303605</v>
      </c>
      <c r="I298" s="22">
        <v>0</v>
      </c>
      <c r="J298" s="22">
        <v>0</v>
      </c>
      <c r="K298" s="22">
        <v>0</v>
      </c>
      <c r="L298" s="22">
        <v>0</v>
      </c>
      <c r="M298" s="22">
        <v>0</v>
      </c>
      <c r="N298" s="22">
        <v>0</v>
      </c>
      <c r="O298" s="22">
        <v>0</v>
      </c>
      <c r="P298" s="22">
        <v>0</v>
      </c>
      <c r="Q298" s="22">
        <v>0</v>
      </c>
      <c r="R298" s="22">
        <v>0</v>
      </c>
      <c r="S298" s="22">
        <v>0</v>
      </c>
      <c r="T298" s="22">
        <v>0</v>
      </c>
      <c r="U298" s="22">
        <v>0</v>
      </c>
      <c r="V298" s="22">
        <v>0</v>
      </c>
      <c r="X298" s="6"/>
      <c r="Y298" s="6"/>
      <c r="Z298" s="25"/>
      <c r="AA298" s="6"/>
      <c r="AB298" s="6"/>
      <c r="AC298" s="75" t="str">
        <f t="shared" si="75"/>
        <v>Tariff Revenue</v>
      </c>
      <c r="AD298" s="75"/>
      <c r="AE298" s="22">
        <v>0</v>
      </c>
      <c r="AF298" s="22">
        <v>0</v>
      </c>
      <c r="AG298" s="6"/>
      <c r="AH298" s="6" t="s">
        <v>561</v>
      </c>
      <c r="AI298" s="6"/>
    </row>
    <row r="299" spans="1:35" ht="16.5" x14ac:dyDescent="0.3">
      <c r="A299" s="28"/>
      <c r="B299" s="28"/>
      <c r="C299" s="26"/>
      <c r="D299" s="1">
        <f t="shared" si="76"/>
        <v>14</v>
      </c>
      <c r="E299" s="17" t="s">
        <v>183</v>
      </c>
      <c r="F299" s="22">
        <f t="shared" si="78"/>
        <v>100512134.62465674</v>
      </c>
      <c r="G299" s="22">
        <f>G$176</f>
        <v>52319166.561451606</v>
      </c>
      <c r="H299" s="22">
        <f>H$176</f>
        <v>16798495.832469974</v>
      </c>
      <c r="I299" s="22">
        <f>I$176</f>
        <v>17918113.565040622</v>
      </c>
      <c r="J299" s="22">
        <f t="shared" ref="J299:V299" si="79">J$176</f>
        <v>2388331.6272585248</v>
      </c>
      <c r="K299" s="22">
        <f t="shared" si="79"/>
        <v>1960361.1413475531</v>
      </c>
      <c r="L299" s="22">
        <f t="shared" si="79"/>
        <v>3655270.3788130232</v>
      </c>
      <c r="M299" s="22">
        <f t="shared" si="79"/>
        <v>1041484.3877793901</v>
      </c>
      <c r="N299" s="22">
        <f t="shared" si="79"/>
        <v>320771.345294956</v>
      </c>
      <c r="O299" s="22">
        <f t="shared" si="79"/>
        <v>567791.93807057315</v>
      </c>
      <c r="P299" s="22">
        <f t="shared" si="79"/>
        <v>534748.79599647108</v>
      </c>
      <c r="Q299" s="22">
        <f t="shared" si="79"/>
        <v>618154.85975814541</v>
      </c>
      <c r="R299" s="22">
        <f t="shared" si="79"/>
        <v>141705.85036828075</v>
      </c>
      <c r="S299" s="22">
        <f t="shared" si="79"/>
        <v>598613.46123453113</v>
      </c>
      <c r="T299" s="22">
        <f t="shared" si="79"/>
        <v>233200.20929882582</v>
      </c>
      <c r="U299" s="22">
        <f t="shared" si="79"/>
        <v>375104.71690050705</v>
      </c>
      <c r="V299" s="22">
        <f t="shared" si="79"/>
        <v>1040819.9535737608</v>
      </c>
      <c r="X299" s="6"/>
      <c r="Y299" s="6"/>
      <c r="Z299" s="25"/>
      <c r="AA299" s="6"/>
      <c r="AB299" s="6"/>
      <c r="AC299" s="75" t="str">
        <f t="shared" si="75"/>
        <v>Depreciation</v>
      </c>
      <c r="AD299" s="75"/>
      <c r="AE299" s="22">
        <f>AE$176</f>
        <v>0</v>
      </c>
      <c r="AF299" s="22">
        <f>AF$176</f>
        <v>0</v>
      </c>
      <c r="AG299" s="6"/>
      <c r="AH299" s="6" t="str">
        <f>+"Carryforward from Sch F 2.5 L."&amp;D176</f>
        <v>Carryforward from Sch F 2.5 L.42</v>
      </c>
      <c r="AI299" s="6"/>
    </row>
    <row r="300" spans="1:35" ht="16.5" x14ac:dyDescent="0.3">
      <c r="A300" s="28"/>
      <c r="B300" s="28"/>
      <c r="C300" s="26"/>
      <c r="D300" s="1"/>
      <c r="E300" s="6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X300" s="6"/>
      <c r="Y300" s="6"/>
      <c r="Z300" s="16"/>
      <c r="AA300" s="6"/>
      <c r="AB300" s="6"/>
      <c r="AC300" s="6" t="str">
        <f t="shared" si="75"/>
        <v/>
      </c>
      <c r="AD300" s="6"/>
      <c r="AE300" s="22"/>
      <c r="AF300" s="22"/>
      <c r="AG300" s="6"/>
      <c r="AH300" s="6"/>
      <c r="AI300" s="6"/>
    </row>
    <row r="301" spans="1:35" ht="16.5" x14ac:dyDescent="0.3">
      <c r="A301" s="28"/>
      <c r="B301" s="28"/>
      <c r="C301" s="26"/>
      <c r="D301" s="1"/>
      <c r="E301" s="21" t="s">
        <v>184</v>
      </c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X301" s="6"/>
      <c r="Y301" s="6"/>
      <c r="Z301" s="16"/>
      <c r="AA301" s="6"/>
      <c r="AB301" s="6"/>
      <c r="AC301" s="21" t="str">
        <f t="shared" si="75"/>
        <v>Expense Credits</v>
      </c>
      <c r="AD301" s="21"/>
      <c r="AE301" s="22"/>
      <c r="AF301" s="22"/>
      <c r="AG301" s="6"/>
      <c r="AH301" s="6"/>
      <c r="AI301" s="6"/>
    </row>
    <row r="302" spans="1:35" ht="16.5" x14ac:dyDescent="0.3">
      <c r="A302" s="28"/>
      <c r="B302" s="28"/>
      <c r="C302" s="26"/>
      <c r="D302" s="1">
        <f t="shared" ref="D302:D312" si="80">MAX(D299:D301)+NoOne</f>
        <v>15</v>
      </c>
      <c r="E302" s="17" t="s">
        <v>185</v>
      </c>
      <c r="F302" s="22">
        <v>-393846.29259448557</v>
      </c>
      <c r="G302" s="22">
        <f>IF(SUM($G$270:$AF$270)&lt;&gt;0,$F302*(G$270/SUM($G$270:$AF$270)),0)</f>
        <v>-177592.76221072633</v>
      </c>
      <c r="H302" s="22">
        <f>IF(SUM($G$270:$AF$270)&lt;&gt;0,$F302*(H$270/SUM($G$270:$AF$270)),0)</f>
        <v>-64373.652736878881</v>
      </c>
      <c r="I302" s="22">
        <f>IF(SUM($G$270:$AF$270)&lt;&gt;0,$F302*(I$270/SUM($G$270:$AF$270)),0)</f>
        <v>-81112.332332928738</v>
      </c>
      <c r="J302" s="22">
        <f t="shared" ref="J302:V302" si="81">IF(SUM($G$270:$AF$270)&lt;&gt;0,$F302*(J$270/SUM($G$270:$AF$270)),0)</f>
        <v>-11399.16665731071</v>
      </c>
      <c r="K302" s="22">
        <f t="shared" si="81"/>
        <v>-8076.4895048390572</v>
      </c>
      <c r="L302" s="22">
        <f t="shared" si="81"/>
        <v>-15492.133020587749</v>
      </c>
      <c r="M302" s="22">
        <f t="shared" si="81"/>
        <v>-4226.5148023793527</v>
      </c>
      <c r="N302" s="22">
        <f t="shared" si="81"/>
        <v>-1291.8630653775806</v>
      </c>
      <c r="O302" s="22">
        <f t="shared" si="81"/>
        <v>-2286.7049827597616</v>
      </c>
      <c r="P302" s="22">
        <f t="shared" si="81"/>
        <v>-2238.2460187414385</v>
      </c>
      <c r="Q302" s="22">
        <f t="shared" si="81"/>
        <v>-2540.0399058918138</v>
      </c>
      <c r="R302" s="22">
        <f t="shared" si="81"/>
        <v>-745.92258758272351</v>
      </c>
      <c r="S302" s="22">
        <f t="shared" si="81"/>
        <v>-1995.5037456702198</v>
      </c>
      <c r="T302" s="22">
        <f t="shared" si="81"/>
        <v>-636.47598237693876</v>
      </c>
      <c r="U302" s="22">
        <f t="shared" si="81"/>
        <v>-10201.626565034652</v>
      </c>
      <c r="V302" s="22">
        <f t="shared" si="81"/>
        <v>-1741.7360782810088</v>
      </c>
      <c r="X302" s="6"/>
      <c r="Y302" s="6"/>
      <c r="Z302" s="25"/>
      <c r="AA302" s="6"/>
      <c r="AB302" s="6"/>
      <c r="AC302" s="75" t="str">
        <f t="shared" si="75"/>
        <v xml:space="preserve">Sundry </v>
      </c>
      <c r="AD302" s="75"/>
      <c r="AE302" s="22">
        <f>IF(SUM($G$270:$AF$270)&lt;&gt;0,$F302*(AE$270/SUM($G$270:$AF$270)),0)</f>
        <v>-4697.7311197892377</v>
      </c>
      <c r="AF302" s="22">
        <f>IF(SUM($G$270:$AF$270)&lt;&gt;0,$F302*(AF$270/SUM($G$270:$AF$270)),0)</f>
        <v>-3197.3912773293396</v>
      </c>
      <c r="AG302" s="6"/>
      <c r="AH302" s="6" t="str">
        <f>+"Prorated on Total Operating &amp; Maintenance Expenses - Sch F 2.4 L."&amp;$D$270</f>
        <v>Prorated on Total Operating &amp; Maintenance Expenses - Sch F 2.4 L.30</v>
      </c>
      <c r="AI302" s="6"/>
    </row>
    <row r="303" spans="1:35" ht="16.5" x14ac:dyDescent="0.3">
      <c r="A303" s="28"/>
      <c r="B303" s="28"/>
      <c r="C303" s="26" t="s">
        <v>186</v>
      </c>
      <c r="D303" s="1">
        <v>16</v>
      </c>
      <c r="E303" s="17" t="s">
        <v>187</v>
      </c>
      <c r="F303" s="22">
        <v>-1250000</v>
      </c>
      <c r="G303" s="22">
        <f>$F303*G294/SUM($G$294:$AF$294)</f>
        <v>-621408.95141401864</v>
      </c>
      <c r="H303" s="22">
        <f>$F303*H294/SUM($G$294:$AF$294)</f>
        <v>-628591.04858598136</v>
      </c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X303" s="6"/>
      <c r="Y303" s="6"/>
      <c r="Z303" s="25"/>
      <c r="AA303" s="6"/>
      <c r="AB303" s="6"/>
      <c r="AC303" s="75" t="s">
        <v>187</v>
      </c>
      <c r="AD303" s="75"/>
      <c r="AE303" s="22"/>
      <c r="AF303" s="22"/>
      <c r="AG303" s="6"/>
      <c r="AH303" s="6"/>
      <c r="AI303" s="6"/>
    </row>
    <row r="304" spans="1:35" ht="16.5" x14ac:dyDescent="0.3">
      <c r="A304" s="28"/>
      <c r="B304" s="28"/>
      <c r="C304" s="19" t="s">
        <v>188</v>
      </c>
      <c r="D304" s="1">
        <v>17</v>
      </c>
      <c r="E304" s="17" t="s">
        <v>189</v>
      </c>
      <c r="F304" s="22">
        <v>-6000</v>
      </c>
      <c r="G304" s="22">
        <f t="shared" ref="G304:V304" si="82">$F304*G51/SUM($G$51:$AF$51)</f>
        <v>-2281.1511452054401</v>
      </c>
      <c r="H304" s="22">
        <f t="shared" si="82"/>
        <v>-1234.4032727606855</v>
      </c>
      <c r="I304" s="22">
        <f t="shared" si="82"/>
        <v>-1539.580470605395</v>
      </c>
      <c r="J304" s="22">
        <f t="shared" si="82"/>
        <v>-232.27272152326981</v>
      </c>
      <c r="K304" s="22">
        <f t="shared" si="82"/>
        <v>-119.78100698224456</v>
      </c>
      <c r="L304" s="22">
        <f t="shared" si="82"/>
        <v>-239.74106237464096</v>
      </c>
      <c r="M304" s="22">
        <f t="shared" si="82"/>
        <v>-65.405399470687584</v>
      </c>
      <c r="N304" s="22">
        <f t="shared" si="82"/>
        <v>-19.991606276850277</v>
      </c>
      <c r="O304" s="22">
        <f t="shared" si="82"/>
        <v>-35.386804462347172</v>
      </c>
      <c r="P304" s="22">
        <f t="shared" si="82"/>
        <v>-34.636901043632101</v>
      </c>
      <c r="Q304" s="22">
        <f t="shared" si="82"/>
        <v>-39.307167367026892</v>
      </c>
      <c r="R304" s="22">
        <f t="shared" si="82"/>
        <v>-11.543166674251729</v>
      </c>
      <c r="S304" s="22">
        <f t="shared" si="82"/>
        <v>-18.293911863123181</v>
      </c>
      <c r="T304" s="22">
        <f t="shared" si="82"/>
        <v>-9.8494783118768723</v>
      </c>
      <c r="U304" s="22">
        <f t="shared" si="82"/>
        <v>0</v>
      </c>
      <c r="V304" s="22">
        <f t="shared" si="82"/>
        <v>-118.65588507852826</v>
      </c>
      <c r="X304" s="6"/>
      <c r="Y304" s="6"/>
      <c r="Z304" s="25"/>
      <c r="AA304" s="6"/>
      <c r="AB304" s="6"/>
      <c r="AC304" s="75" t="str">
        <f t="shared" si="75"/>
        <v>Building Rental Income</v>
      </c>
      <c r="AD304" s="75"/>
      <c r="AE304" s="22">
        <v>0</v>
      </c>
      <c r="AF304" s="22">
        <v>0</v>
      </c>
      <c r="AG304" s="6"/>
      <c r="AH304" s="6" t="str">
        <f>+"Prorated on Production, Transmission &amp; Distribution Plant - Sch F 2.2 L."&amp;D51</f>
        <v>Prorated on Production, Transmission &amp; Distribution Plant - Sch F 2.2 L.35</v>
      </c>
      <c r="AI304" s="6"/>
    </row>
    <row r="305" spans="1:35" ht="16.5" x14ac:dyDescent="0.3">
      <c r="A305" s="28"/>
      <c r="B305" s="28"/>
      <c r="C305" s="26"/>
      <c r="D305" s="1">
        <v>18</v>
      </c>
      <c r="E305" s="17" t="s">
        <v>190</v>
      </c>
      <c r="F305" s="22">
        <v>0</v>
      </c>
      <c r="G305" s="22">
        <f t="shared" ref="G305:V306" si="83">IF(SUM($G$270:$AF$270)&lt;&gt;0,$F305*(G$270/SUM($G$270:$AF$270)),0)</f>
        <v>0</v>
      </c>
      <c r="H305" s="22">
        <f t="shared" si="83"/>
        <v>0</v>
      </c>
      <c r="I305" s="22">
        <f t="shared" si="83"/>
        <v>0</v>
      </c>
      <c r="J305" s="22">
        <f t="shared" si="83"/>
        <v>0</v>
      </c>
      <c r="K305" s="22">
        <f t="shared" si="83"/>
        <v>0</v>
      </c>
      <c r="L305" s="22">
        <f t="shared" si="83"/>
        <v>0</v>
      </c>
      <c r="M305" s="22">
        <f t="shared" si="83"/>
        <v>0</v>
      </c>
      <c r="N305" s="22">
        <f t="shared" si="83"/>
        <v>0</v>
      </c>
      <c r="O305" s="22">
        <f t="shared" si="83"/>
        <v>0</v>
      </c>
      <c r="P305" s="22">
        <f t="shared" si="83"/>
        <v>0</v>
      </c>
      <c r="Q305" s="22">
        <f t="shared" si="83"/>
        <v>0</v>
      </c>
      <c r="R305" s="22">
        <f t="shared" si="83"/>
        <v>0</v>
      </c>
      <c r="S305" s="22">
        <f t="shared" si="83"/>
        <v>0</v>
      </c>
      <c r="T305" s="22">
        <f t="shared" si="83"/>
        <v>0</v>
      </c>
      <c r="U305" s="22">
        <f t="shared" si="83"/>
        <v>0</v>
      </c>
      <c r="V305" s="22">
        <f t="shared" si="83"/>
        <v>0</v>
      </c>
      <c r="X305" s="6"/>
      <c r="Y305" s="6"/>
      <c r="Z305" s="25"/>
      <c r="AA305" s="6"/>
      <c r="AB305" s="6"/>
      <c r="AC305" s="75" t="str">
        <f t="shared" si="75"/>
        <v>Tax Refunds</v>
      </c>
      <c r="AD305" s="75"/>
      <c r="AE305" s="22">
        <f>IF(SUM($G$270:$AF$270)&lt;&gt;0,$F305*(AE$270/SUM($G$270:$AF$270)),0)</f>
        <v>0</v>
      </c>
      <c r="AF305" s="22">
        <f>IF(SUM($G$270:$AF$270)&lt;&gt;0,$F305*(AF$270/SUM($G$270:$AF$270)),0)</f>
        <v>0</v>
      </c>
      <c r="AG305" s="6"/>
      <c r="AH305" s="6" t="str">
        <f>+"Prorated on Total Operating &amp; Maintenance Expenses - Sch F 2.4 L."&amp;$D$270</f>
        <v>Prorated on Total Operating &amp; Maintenance Expenses - Sch F 2.4 L.30</v>
      </c>
      <c r="AI305" s="6"/>
    </row>
    <row r="306" spans="1:35" ht="16.5" x14ac:dyDescent="0.3">
      <c r="A306" s="28"/>
      <c r="B306" s="28"/>
      <c r="C306" s="26"/>
      <c r="D306" s="1">
        <v>19</v>
      </c>
      <c r="E306" s="17" t="s">
        <v>191</v>
      </c>
      <c r="F306" s="22">
        <v>0</v>
      </c>
      <c r="G306" s="22">
        <f t="shared" si="83"/>
        <v>0</v>
      </c>
      <c r="H306" s="22">
        <f t="shared" si="83"/>
        <v>0</v>
      </c>
      <c r="I306" s="22">
        <f t="shared" si="83"/>
        <v>0</v>
      </c>
      <c r="J306" s="22">
        <f t="shared" si="83"/>
        <v>0</v>
      </c>
      <c r="K306" s="22">
        <f t="shared" si="83"/>
        <v>0</v>
      </c>
      <c r="L306" s="22">
        <f t="shared" si="83"/>
        <v>0</v>
      </c>
      <c r="M306" s="22">
        <f t="shared" si="83"/>
        <v>0</v>
      </c>
      <c r="N306" s="22">
        <f t="shared" si="83"/>
        <v>0</v>
      </c>
      <c r="O306" s="22">
        <f t="shared" si="83"/>
        <v>0</v>
      </c>
      <c r="P306" s="22">
        <f t="shared" si="83"/>
        <v>0</v>
      </c>
      <c r="Q306" s="22">
        <f t="shared" si="83"/>
        <v>0</v>
      </c>
      <c r="R306" s="22">
        <f t="shared" si="83"/>
        <v>0</v>
      </c>
      <c r="S306" s="22">
        <f t="shared" si="83"/>
        <v>0</v>
      </c>
      <c r="T306" s="22">
        <f t="shared" si="83"/>
        <v>0</v>
      </c>
      <c r="U306" s="22">
        <f t="shared" si="83"/>
        <v>0</v>
      </c>
      <c r="V306" s="22">
        <f t="shared" si="83"/>
        <v>0</v>
      </c>
      <c r="X306" s="6"/>
      <c r="Y306" s="6"/>
      <c r="Z306" s="25"/>
      <c r="AA306" s="6"/>
      <c r="AB306" s="6"/>
      <c r="AC306" s="75" t="str">
        <f t="shared" si="75"/>
        <v>Suppliers' Discounts</v>
      </c>
      <c r="AD306" s="75"/>
      <c r="AE306" s="22">
        <f>IF(SUM($G$270:$AF$270)&lt;&gt;0,$F306*(AE$270/SUM($G$270:$AF$270)),0)</f>
        <v>0</v>
      </c>
      <c r="AF306" s="22">
        <f>IF(SUM($G$270:$AF$270)&lt;&gt;0,$F306*(AF$270/SUM($G$270:$AF$270)),0)</f>
        <v>0</v>
      </c>
      <c r="AG306" s="6"/>
      <c r="AH306" s="6" t="str">
        <f>+"Prorated on Total Operating &amp; Maintenance Expenses - Sch F 2.4 L."&amp;$D$270</f>
        <v>Prorated on Total Operating &amp; Maintenance Expenses - Sch F 2.4 L.30</v>
      </c>
      <c r="AI306" s="6"/>
    </row>
    <row r="307" spans="1:35" ht="16.5" x14ac:dyDescent="0.3">
      <c r="A307" s="28"/>
      <c r="B307" s="28"/>
      <c r="C307" s="19" t="s">
        <v>192</v>
      </c>
      <c r="D307" s="1">
        <f t="shared" si="80"/>
        <v>20</v>
      </c>
      <c r="E307" s="6" t="s">
        <v>193</v>
      </c>
      <c r="F307" s="22">
        <v>-1196656.1902277216</v>
      </c>
      <c r="G307" s="22">
        <v>0</v>
      </c>
      <c r="H307" s="22">
        <v>0</v>
      </c>
      <c r="I307" s="22">
        <v>0</v>
      </c>
      <c r="J307" s="22">
        <v>0</v>
      </c>
      <c r="K307" s="22">
        <v>0</v>
      </c>
      <c r="L307" s="22">
        <v>-692083.71430582227</v>
      </c>
      <c r="M307" s="22">
        <v>-236521.48931088965</v>
      </c>
      <c r="N307" s="22">
        <v>0</v>
      </c>
      <c r="O307" s="22">
        <v>0</v>
      </c>
      <c r="P307" s="22">
        <v>-122499.30088123139</v>
      </c>
      <c r="Q307" s="22">
        <v>-145551.68572977826</v>
      </c>
      <c r="R307" s="22">
        <v>0</v>
      </c>
      <c r="S307" s="22">
        <v>0</v>
      </c>
      <c r="T307" s="22">
        <v>0</v>
      </c>
      <c r="U307" s="22">
        <v>0</v>
      </c>
      <c r="V307" s="22">
        <v>0</v>
      </c>
      <c r="X307" s="6"/>
      <c r="Y307" s="6"/>
      <c r="Z307" s="25"/>
      <c r="AA307" s="6"/>
      <c r="AB307" s="6"/>
      <c r="AC307" s="75" t="str">
        <f t="shared" si="75"/>
        <v>Pole Attachments</v>
      </c>
      <c r="AD307" s="75"/>
      <c r="AE307" s="22">
        <v>0</v>
      </c>
      <c r="AF307" s="22">
        <v>0</v>
      </c>
      <c r="AG307" s="6"/>
      <c r="AH307" s="6" t="s">
        <v>519</v>
      </c>
      <c r="AI307" s="6"/>
    </row>
    <row r="308" spans="1:35" ht="16.5" x14ac:dyDescent="0.3">
      <c r="A308" s="28"/>
      <c r="B308" s="28"/>
      <c r="C308" s="19" t="s">
        <v>194</v>
      </c>
      <c r="D308" s="1">
        <f t="shared" si="80"/>
        <v>21</v>
      </c>
      <c r="E308" s="17" t="s">
        <v>195</v>
      </c>
      <c r="F308" s="22">
        <v>0</v>
      </c>
      <c r="G308" s="22">
        <v>0</v>
      </c>
      <c r="H308" s="22">
        <f>F308</f>
        <v>0</v>
      </c>
      <c r="I308" s="22">
        <v>0</v>
      </c>
      <c r="J308" s="22">
        <v>0</v>
      </c>
      <c r="K308" s="22">
        <v>0</v>
      </c>
      <c r="L308" s="22">
        <v>0</v>
      </c>
      <c r="M308" s="22">
        <v>0</v>
      </c>
      <c r="N308" s="22">
        <v>0</v>
      </c>
      <c r="O308" s="22">
        <v>0</v>
      </c>
      <c r="P308" s="22">
        <v>0</v>
      </c>
      <c r="Q308" s="22">
        <v>0</v>
      </c>
      <c r="R308" s="22">
        <v>0</v>
      </c>
      <c r="S308" s="22">
        <v>0</v>
      </c>
      <c r="T308" s="22">
        <v>0</v>
      </c>
      <c r="U308" s="22">
        <v>0</v>
      </c>
      <c r="V308" s="22">
        <v>0</v>
      </c>
      <c r="X308" s="6"/>
      <c r="Y308" s="6"/>
      <c r="Z308" s="25"/>
      <c r="AA308" s="6"/>
      <c r="AB308" s="6"/>
      <c r="AC308" s="75" t="str">
        <f t="shared" si="75"/>
        <v xml:space="preserve">Secondary Energy </v>
      </c>
      <c r="AD308" s="75"/>
      <c r="AE308" s="22">
        <v>0</v>
      </c>
      <c r="AF308" s="22">
        <v>0</v>
      </c>
      <c r="AG308" s="6"/>
      <c r="AH308" s="6" t="s">
        <v>196</v>
      </c>
      <c r="AI308" s="6"/>
    </row>
    <row r="309" spans="1:35" ht="16.5" x14ac:dyDescent="0.3">
      <c r="A309" s="28"/>
      <c r="B309" s="28"/>
      <c r="C309" s="19" t="s">
        <v>197</v>
      </c>
      <c r="D309" s="1">
        <f t="shared" si="80"/>
        <v>22</v>
      </c>
      <c r="E309" s="17" t="s">
        <v>198</v>
      </c>
      <c r="F309" s="22">
        <v>0</v>
      </c>
      <c r="G309" s="23">
        <v>0</v>
      </c>
      <c r="H309" s="23">
        <v>0</v>
      </c>
      <c r="I309" s="23">
        <v>0</v>
      </c>
      <c r="J309" s="23">
        <v>0</v>
      </c>
      <c r="K309" s="23">
        <v>0</v>
      </c>
      <c r="L309" s="23">
        <v>0</v>
      </c>
      <c r="M309" s="23">
        <v>0</v>
      </c>
      <c r="N309" s="23">
        <v>0</v>
      </c>
      <c r="O309" s="23">
        <v>0</v>
      </c>
      <c r="P309" s="23">
        <v>0</v>
      </c>
      <c r="Q309" s="23">
        <v>0</v>
      </c>
      <c r="R309" s="23">
        <v>0</v>
      </c>
      <c r="S309" s="23">
        <v>0</v>
      </c>
      <c r="T309" s="23">
        <v>0</v>
      </c>
      <c r="U309" s="23">
        <v>0</v>
      </c>
      <c r="V309" s="23">
        <v>0</v>
      </c>
      <c r="X309" s="6"/>
      <c r="Y309" s="6"/>
      <c r="Z309" s="25"/>
      <c r="AA309" s="6"/>
      <c r="AB309" s="6"/>
      <c r="AC309" s="75" t="str">
        <f t="shared" si="75"/>
        <v>Wheeling Revenues</v>
      </c>
      <c r="AD309" s="75"/>
      <c r="AE309" s="23">
        <v>0</v>
      </c>
      <c r="AF309" s="23">
        <v>0</v>
      </c>
      <c r="AG309" s="6"/>
      <c r="AH309" s="6" t="s">
        <v>199</v>
      </c>
      <c r="AI309" s="6"/>
    </row>
    <row r="310" spans="1:35" ht="16.5" x14ac:dyDescent="0.3">
      <c r="A310" s="28"/>
      <c r="B310" s="28"/>
      <c r="C310" s="19" t="s">
        <v>200</v>
      </c>
      <c r="D310" s="1">
        <f t="shared" si="80"/>
        <v>23</v>
      </c>
      <c r="E310" s="17" t="s">
        <v>201</v>
      </c>
      <c r="F310" s="22">
        <v>-10956</v>
      </c>
      <c r="G310" s="23">
        <v>0</v>
      </c>
      <c r="H310" s="23">
        <v>0</v>
      </c>
      <c r="I310" s="23">
        <v>0</v>
      </c>
      <c r="J310" s="23">
        <v>0</v>
      </c>
      <c r="K310" s="23">
        <v>0</v>
      </c>
      <c r="L310" s="23">
        <v>0</v>
      </c>
      <c r="M310" s="23">
        <v>0</v>
      </c>
      <c r="N310" s="23">
        <v>0</v>
      </c>
      <c r="O310" s="23">
        <v>0</v>
      </c>
      <c r="P310" s="23">
        <v>0</v>
      </c>
      <c r="Q310" s="23">
        <v>0</v>
      </c>
      <c r="R310" s="23">
        <v>0</v>
      </c>
      <c r="S310" s="23">
        <v>0</v>
      </c>
      <c r="T310" s="23">
        <v>0</v>
      </c>
      <c r="U310" s="23">
        <f>+F310</f>
        <v>-10956</v>
      </c>
      <c r="V310" s="23">
        <v>0</v>
      </c>
      <c r="X310" s="6"/>
      <c r="Y310" s="6"/>
      <c r="Z310" s="25"/>
      <c r="AA310" s="6"/>
      <c r="AB310" s="6"/>
      <c r="AC310" s="75" t="str">
        <f t="shared" si="75"/>
        <v>Application Fees</v>
      </c>
      <c r="AD310" s="75"/>
      <c r="AE310" s="23">
        <v>0</v>
      </c>
      <c r="AF310" s="23">
        <v>0</v>
      </c>
      <c r="AG310" s="6"/>
      <c r="AH310" s="6" t="s">
        <v>146</v>
      </c>
      <c r="AI310" s="6"/>
    </row>
    <row r="311" spans="1:35" ht="16.5" x14ac:dyDescent="0.3">
      <c r="A311" s="28"/>
      <c r="B311" s="28"/>
      <c r="C311" s="19"/>
      <c r="D311" s="1">
        <f t="shared" si="80"/>
        <v>24</v>
      </c>
      <c r="E311" s="17" t="s">
        <v>202</v>
      </c>
      <c r="F311" s="22">
        <v>0</v>
      </c>
      <c r="G311" s="23">
        <v>0</v>
      </c>
      <c r="H311" s="23">
        <v>0</v>
      </c>
      <c r="I311" s="23">
        <v>0</v>
      </c>
      <c r="J311" s="23">
        <v>0</v>
      </c>
      <c r="K311" s="23">
        <v>0</v>
      </c>
      <c r="L311" s="23">
        <v>0</v>
      </c>
      <c r="M311" s="23">
        <v>0</v>
      </c>
      <c r="N311" s="23">
        <v>0</v>
      </c>
      <c r="O311" s="23">
        <v>0</v>
      </c>
      <c r="P311" s="23">
        <v>0</v>
      </c>
      <c r="Q311" s="23">
        <v>0</v>
      </c>
      <c r="R311" s="23">
        <v>0</v>
      </c>
      <c r="S311" s="23">
        <f>+F311</f>
        <v>0</v>
      </c>
      <c r="T311" s="23">
        <v>0</v>
      </c>
      <c r="U311" s="23">
        <v>0</v>
      </c>
      <c r="V311" s="23">
        <v>0</v>
      </c>
      <c r="X311" s="6"/>
      <c r="Y311" s="6"/>
      <c r="Z311" s="25"/>
      <c r="AA311" s="6"/>
      <c r="AB311" s="6"/>
      <c r="AC311" s="75" t="str">
        <f t="shared" si="75"/>
        <v>Meter Test Revenues</v>
      </c>
      <c r="AD311" s="75"/>
      <c r="AE311" s="23">
        <v>0</v>
      </c>
      <c r="AF311" s="23">
        <v>0</v>
      </c>
      <c r="AG311" s="6"/>
      <c r="AH311" s="6" t="s">
        <v>88</v>
      </c>
      <c r="AI311" s="6"/>
    </row>
    <row r="312" spans="1:35" ht="16.5" x14ac:dyDescent="0.3">
      <c r="A312" s="28">
        <f>SUM(G312:AF312)-F312</f>
        <v>0</v>
      </c>
      <c r="B312" s="28"/>
      <c r="C312" s="29"/>
      <c r="D312" s="1">
        <f t="shared" si="80"/>
        <v>25</v>
      </c>
      <c r="E312" s="20" t="s">
        <v>203</v>
      </c>
      <c r="F312" s="30">
        <f>SUM(F302:F311)</f>
        <v>-2857458.4828222068</v>
      </c>
      <c r="G312" s="30">
        <f>SUM(G302:G311)</f>
        <v>-801282.86476995039</v>
      </c>
      <c r="H312" s="30">
        <f>SUM(H302:H311)</f>
        <v>-694199.10459562088</v>
      </c>
      <c r="I312" s="30">
        <f>SUM(I302:I311)</f>
        <v>-82651.912803534127</v>
      </c>
      <c r="J312" s="30">
        <f t="shared" ref="J312:V312" si="84">SUM(J302:J311)</f>
        <v>-11631.43937883398</v>
      </c>
      <c r="K312" s="30">
        <f t="shared" si="84"/>
        <v>-8196.2705118213016</v>
      </c>
      <c r="L312" s="30">
        <f t="shared" si="84"/>
        <v>-707815.58838878467</v>
      </c>
      <c r="M312" s="30">
        <f t="shared" si="84"/>
        <v>-240813.40951273969</v>
      </c>
      <c r="N312" s="30">
        <f t="shared" si="84"/>
        <v>-1311.8546716544308</v>
      </c>
      <c r="O312" s="30">
        <f t="shared" si="84"/>
        <v>-2322.0917872221089</v>
      </c>
      <c r="P312" s="30">
        <f t="shared" si="84"/>
        <v>-124772.18380101646</v>
      </c>
      <c r="Q312" s="30">
        <f t="shared" si="84"/>
        <v>-148131.03280303709</v>
      </c>
      <c r="R312" s="30">
        <f t="shared" si="84"/>
        <v>-757.46575425697529</v>
      </c>
      <c r="S312" s="30">
        <f t="shared" si="84"/>
        <v>-2013.797657533343</v>
      </c>
      <c r="T312" s="30">
        <f t="shared" si="84"/>
        <v>-646.32546068881561</v>
      </c>
      <c r="U312" s="30">
        <f t="shared" si="84"/>
        <v>-21157.626565034654</v>
      </c>
      <c r="V312" s="30">
        <f t="shared" si="84"/>
        <v>-1860.3919633595369</v>
      </c>
      <c r="X312" s="6"/>
      <c r="Y312" s="6"/>
      <c r="Z312" s="25"/>
      <c r="AA312" s="6"/>
      <c r="AB312" s="6"/>
      <c r="AC312" s="20" t="str">
        <f t="shared" si="75"/>
        <v xml:space="preserve">    Total Expense Credits</v>
      </c>
      <c r="AD312" s="20"/>
      <c r="AE312" s="30">
        <f>SUM(AE302:AE311)</f>
        <v>-4697.7311197892377</v>
      </c>
      <c r="AF312" s="30">
        <f>SUM(AF302:AF311)</f>
        <v>-3197.3912773293396</v>
      </c>
      <c r="AG312" s="6"/>
      <c r="AH312" s="6"/>
      <c r="AI312" s="6"/>
    </row>
    <row r="313" spans="1:35" ht="16.5" x14ac:dyDescent="0.3">
      <c r="A313" s="28"/>
      <c r="B313" s="28"/>
      <c r="C313" s="26"/>
      <c r="D313" s="1"/>
      <c r="E313" s="6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X313" s="6"/>
      <c r="Y313" s="6"/>
      <c r="Z313" s="16"/>
      <c r="AA313" s="6"/>
      <c r="AB313" s="6"/>
      <c r="AC313" s="6" t="str">
        <f t="shared" si="75"/>
        <v/>
      </c>
      <c r="AD313" s="6"/>
      <c r="AE313" s="34"/>
      <c r="AF313" s="34"/>
      <c r="AG313" s="6"/>
      <c r="AH313" s="6"/>
      <c r="AI313" s="6"/>
    </row>
    <row r="314" spans="1:35" ht="16.5" x14ac:dyDescent="0.3">
      <c r="A314" s="28">
        <f>SUM(G314:AF314)-F314</f>
        <v>0</v>
      </c>
      <c r="B314" s="28"/>
      <c r="C314" s="26"/>
      <c r="D314" s="1">
        <v>26</v>
      </c>
      <c r="E314" s="20" t="s">
        <v>204</v>
      </c>
      <c r="F314" s="69">
        <f>SUM(F312,F286:F299)</f>
        <v>584578607.2428571</v>
      </c>
      <c r="G314" s="69">
        <f t="shared" ref="G314:V314" si="85">SUM(G312,G286:G299)</f>
        <v>268619415.35568029</v>
      </c>
      <c r="H314" s="69">
        <f t="shared" si="85"/>
        <v>238529487.93328181</v>
      </c>
      <c r="I314" s="69">
        <f t="shared" si="85"/>
        <v>42635522.894446127</v>
      </c>
      <c r="J314" s="69">
        <f t="shared" si="85"/>
        <v>6821990.5633444171</v>
      </c>
      <c r="K314" s="69">
        <f t="shared" si="85"/>
        <v>4421548.1148033515</v>
      </c>
      <c r="L314" s="69">
        <f t="shared" si="85"/>
        <v>7684167.8972060438</v>
      </c>
      <c r="M314" s="69">
        <f t="shared" si="85"/>
        <v>2092926.088252665</v>
      </c>
      <c r="N314" s="69">
        <f t="shared" si="85"/>
        <v>714446.07547959103</v>
      </c>
      <c r="O314" s="69">
        <f t="shared" si="85"/>
        <v>1264628.9258489159</v>
      </c>
      <c r="P314" s="69">
        <f t="shared" si="85"/>
        <v>1094319.3840452502</v>
      </c>
      <c r="Q314" s="69">
        <f t="shared" si="85"/>
        <v>1246639.9519262663</v>
      </c>
      <c r="R314" s="69">
        <f t="shared" si="85"/>
        <v>369013.89970818989</v>
      </c>
      <c r="S314" s="69">
        <f t="shared" si="85"/>
        <v>1206724.0882890259</v>
      </c>
      <c r="T314" s="69">
        <f t="shared" si="85"/>
        <v>427156.14576489996</v>
      </c>
      <c r="U314" s="69">
        <f t="shared" si="85"/>
        <v>3473090.0900035584</v>
      </c>
      <c r="V314" s="69">
        <f t="shared" si="85"/>
        <v>1571494.6295435708</v>
      </c>
      <c r="X314" s="6"/>
      <c r="Y314" s="6"/>
      <c r="Z314" s="25"/>
      <c r="AA314" s="6"/>
      <c r="AB314" s="6"/>
      <c r="AC314" s="20" t="str">
        <f t="shared" si="75"/>
        <v>Subtotal Expenses</v>
      </c>
      <c r="AD314" s="20"/>
      <c r="AE314" s="69">
        <f>SUM(AE312,AE286:AE299)</f>
        <v>1431631.5682524573</v>
      </c>
      <c r="AF314" s="69">
        <f>SUM(AF312,AF286:AF299)</f>
        <v>974403.63698063209</v>
      </c>
      <c r="AG314" s="6"/>
      <c r="AH314" s="6"/>
      <c r="AI314" s="6"/>
    </row>
    <row r="315" spans="1:35" ht="16.5" x14ac:dyDescent="0.3">
      <c r="A315" s="28"/>
      <c r="B315" s="28"/>
      <c r="C315" s="26"/>
      <c r="D315" s="1"/>
      <c r="E315" s="6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X315" s="6"/>
      <c r="Y315" s="6"/>
      <c r="Z315" s="16"/>
      <c r="AA315" s="6"/>
      <c r="AB315" s="6"/>
      <c r="AC315" s="1" t="str">
        <f t="shared" si="75"/>
        <v/>
      </c>
      <c r="AD315" s="6"/>
      <c r="AE315" s="22"/>
      <c r="AF315" s="22"/>
      <c r="AG315" s="6"/>
      <c r="AH315" s="6"/>
      <c r="AI315" s="6"/>
    </row>
    <row r="316" spans="1:35" ht="16.5" x14ac:dyDescent="0.3">
      <c r="A316" s="28"/>
      <c r="B316" s="28"/>
      <c r="C316" s="26" t="s">
        <v>205</v>
      </c>
      <c r="D316" s="1">
        <v>27</v>
      </c>
      <c r="E316" s="6" t="s">
        <v>206</v>
      </c>
      <c r="F316" s="22">
        <v>0</v>
      </c>
      <c r="G316" s="34">
        <f t="shared" ref="G316:V316" si="86">IF(SUM($G$116:$V$116)&lt;&gt;0,$F316*(G$116/SUM($G$116:$V$116)),0)</f>
        <v>0</v>
      </c>
      <c r="H316" s="34">
        <f t="shared" si="86"/>
        <v>0</v>
      </c>
      <c r="I316" s="34">
        <f t="shared" si="86"/>
        <v>0</v>
      </c>
      <c r="J316" s="34">
        <f t="shared" si="86"/>
        <v>0</v>
      </c>
      <c r="K316" s="34">
        <f t="shared" si="86"/>
        <v>0</v>
      </c>
      <c r="L316" s="34">
        <f t="shared" si="86"/>
        <v>0</v>
      </c>
      <c r="M316" s="34">
        <f t="shared" si="86"/>
        <v>0</v>
      </c>
      <c r="N316" s="34">
        <f t="shared" si="86"/>
        <v>0</v>
      </c>
      <c r="O316" s="34">
        <f t="shared" si="86"/>
        <v>0</v>
      </c>
      <c r="P316" s="34">
        <f t="shared" si="86"/>
        <v>0</v>
      </c>
      <c r="Q316" s="34">
        <f t="shared" si="86"/>
        <v>0</v>
      </c>
      <c r="R316" s="34">
        <f t="shared" si="86"/>
        <v>0</v>
      </c>
      <c r="S316" s="34">
        <f t="shared" si="86"/>
        <v>0</v>
      </c>
      <c r="T316" s="34">
        <f t="shared" si="86"/>
        <v>0</v>
      </c>
      <c r="U316" s="34">
        <f t="shared" si="86"/>
        <v>0</v>
      </c>
      <c r="V316" s="34">
        <f t="shared" si="86"/>
        <v>0</v>
      </c>
      <c r="X316" s="6"/>
      <c r="Y316" s="6"/>
      <c r="Z316" s="25"/>
      <c r="AA316" s="6"/>
      <c r="AB316" s="6"/>
      <c r="AC316" s="6" t="str">
        <f t="shared" si="75"/>
        <v>Disposal Gain / Loss</v>
      </c>
      <c r="AD316" s="6"/>
      <c r="AE316" s="34">
        <f>IF(SUM($G$116:$V$116)&lt;&gt;0,$F316*(AE$116/SUM($G$116:$V$116)),0)</f>
        <v>0</v>
      </c>
      <c r="AF316" s="34">
        <f>IF(SUM($G$116:$V$116)&lt;&gt;0,$F316*(AF$116/SUM($G$116:$V$116)),0)</f>
        <v>0</v>
      </c>
      <c r="AG316" s="6"/>
      <c r="AH316" s="6" t="str">
        <f>+"Prorated on Total Net Book Value - Sch F 2.3 L."&amp;$D$116</f>
        <v>Prorated on Total Net Book Value - Sch F 2.3 L.42</v>
      </c>
      <c r="AI316" s="6"/>
    </row>
    <row r="317" spans="1:35" ht="33" x14ac:dyDescent="0.3">
      <c r="A317" s="28">
        <f>SUM(G317:AF317)-F317</f>
        <v>0</v>
      </c>
      <c r="B317" s="28"/>
      <c r="C317" s="29"/>
      <c r="D317" s="1">
        <v>28</v>
      </c>
      <c r="E317" s="39" t="s">
        <v>207</v>
      </c>
      <c r="F317" s="30">
        <f>SUM(F314,F316)</f>
        <v>584578607.2428571</v>
      </c>
      <c r="G317" s="30">
        <f>SUM(G314,G316)</f>
        <v>268619415.35568029</v>
      </c>
      <c r="H317" s="30">
        <f>SUM(H314,H316)</f>
        <v>238529487.93328181</v>
      </c>
      <c r="I317" s="30">
        <f>SUM(I314,I316)</f>
        <v>42635522.894446127</v>
      </c>
      <c r="J317" s="30">
        <f t="shared" ref="J317:V317" si="87">SUM(J314,J316)</f>
        <v>6821990.5633444171</v>
      </c>
      <c r="K317" s="30">
        <f t="shared" si="87"/>
        <v>4421548.1148033515</v>
      </c>
      <c r="L317" s="30">
        <f t="shared" si="87"/>
        <v>7684167.8972060438</v>
      </c>
      <c r="M317" s="30">
        <f t="shared" si="87"/>
        <v>2092926.088252665</v>
      </c>
      <c r="N317" s="30">
        <f t="shared" si="87"/>
        <v>714446.07547959103</v>
      </c>
      <c r="O317" s="30">
        <f t="shared" si="87"/>
        <v>1264628.9258489159</v>
      </c>
      <c r="P317" s="30">
        <f t="shared" si="87"/>
        <v>1094319.3840452502</v>
      </c>
      <c r="Q317" s="30">
        <f t="shared" si="87"/>
        <v>1246639.9519262663</v>
      </c>
      <c r="R317" s="30">
        <f t="shared" si="87"/>
        <v>369013.89970818989</v>
      </c>
      <c r="S317" s="30">
        <f t="shared" si="87"/>
        <v>1206724.0882890259</v>
      </c>
      <c r="T317" s="30">
        <f t="shared" si="87"/>
        <v>427156.14576489996</v>
      </c>
      <c r="U317" s="30">
        <f t="shared" si="87"/>
        <v>3473090.0900035584</v>
      </c>
      <c r="V317" s="30">
        <f t="shared" si="87"/>
        <v>1571494.6295435708</v>
      </c>
      <c r="X317" s="6"/>
      <c r="Y317" s="6"/>
      <c r="Z317" s="25"/>
      <c r="AA317" s="6"/>
      <c r="AB317" s="6"/>
      <c r="AC317" s="39" t="str">
        <f t="shared" si="75"/>
        <v>Subtotal Revenue Requirement  Ex. Return</v>
      </c>
      <c r="AD317" s="39"/>
      <c r="AE317" s="30">
        <f>SUM(AE314,AE316)</f>
        <v>1431631.5682524573</v>
      </c>
      <c r="AF317" s="30">
        <f>SUM(AF314,AF316)</f>
        <v>974403.63698063209</v>
      </c>
      <c r="AG317" s="6"/>
      <c r="AH317" s="6"/>
      <c r="AI317" s="6"/>
    </row>
    <row r="318" spans="1:35" ht="16.5" x14ac:dyDescent="0.3">
      <c r="A318" s="28"/>
      <c r="B318" s="28"/>
      <c r="C318" s="29"/>
      <c r="D318" s="1"/>
      <c r="E318" s="39"/>
      <c r="F318" s="64"/>
      <c r="G318" s="64"/>
      <c r="H318" s="64"/>
      <c r="I318" s="64"/>
      <c r="J318" s="64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/>
      <c r="V318" s="64"/>
      <c r="X318" s="6"/>
      <c r="Y318" s="6"/>
      <c r="Z318" s="82"/>
      <c r="AA318" s="6"/>
      <c r="AB318" s="6"/>
      <c r="AC318" s="39" t="str">
        <f t="shared" si="75"/>
        <v/>
      </c>
      <c r="AD318" s="39"/>
      <c r="AE318" s="64"/>
      <c r="AF318" s="64"/>
      <c r="AG318" s="6"/>
      <c r="AH318" s="6"/>
      <c r="AI318" s="6"/>
    </row>
    <row r="319" spans="1:35" ht="16.5" x14ac:dyDescent="0.3">
      <c r="A319" s="28"/>
      <c r="B319" s="28"/>
      <c r="C319" s="26"/>
      <c r="D319" s="1">
        <v>29</v>
      </c>
      <c r="E319" s="6" t="s">
        <v>130</v>
      </c>
      <c r="F319" s="22">
        <f>SUM(G319:AF319)</f>
        <v>73763123.91142574</v>
      </c>
      <c r="G319" s="22">
        <f t="shared" ref="G319:V319" si="88">+G214</f>
        <v>26192126.014956877</v>
      </c>
      <c r="H319" s="22">
        <f t="shared" si="88"/>
        <v>17878946.162485372</v>
      </c>
      <c r="I319" s="22">
        <f t="shared" si="88"/>
        <v>20467072.815077223</v>
      </c>
      <c r="J319" s="22">
        <f t="shared" si="88"/>
        <v>1882730.4847279727</v>
      </c>
      <c r="K319" s="22">
        <f t="shared" si="88"/>
        <v>2212550.8593724938</v>
      </c>
      <c r="L319" s="22">
        <f t="shared" si="88"/>
        <v>1969199.9637828623</v>
      </c>
      <c r="M319" s="22">
        <f t="shared" si="88"/>
        <v>541367.34163658007</v>
      </c>
      <c r="N319" s="22">
        <f t="shared" si="88"/>
        <v>191698.3087682802</v>
      </c>
      <c r="O319" s="22">
        <f t="shared" si="88"/>
        <v>339321.93712723278</v>
      </c>
      <c r="P319" s="22">
        <f t="shared" si="88"/>
        <v>273066.32048073696</v>
      </c>
      <c r="Q319" s="22">
        <f t="shared" si="88"/>
        <v>312074.51170669938</v>
      </c>
      <c r="R319" s="22">
        <f t="shared" si="88"/>
        <v>68433.906759614998</v>
      </c>
      <c r="S319" s="22">
        <f t="shared" si="88"/>
        <v>256931.21561928498</v>
      </c>
      <c r="T319" s="22">
        <f t="shared" si="88"/>
        <v>80976.745090515353</v>
      </c>
      <c r="U319" s="22">
        <f t="shared" si="88"/>
        <v>121764.14632767755</v>
      </c>
      <c r="V319" s="22">
        <f t="shared" si="88"/>
        <v>974863.17750631797</v>
      </c>
      <c r="X319" s="6"/>
      <c r="Y319" s="6"/>
      <c r="Z319" s="25"/>
      <c r="AA319" s="6"/>
      <c r="AB319" s="6"/>
      <c r="AC319" s="6" t="str">
        <f t="shared" si="75"/>
        <v>Return on Debt</v>
      </c>
      <c r="AD319" s="6"/>
      <c r="AE319" s="22">
        <v>0</v>
      </c>
      <c r="AF319" s="22">
        <v>0</v>
      </c>
      <c r="AG319" s="6"/>
      <c r="AH319" s="6" t="str">
        <f>+"Prorated on Rate Base - Sch F 2.6 L."&amp;$D$208</f>
        <v>Prorated on Rate Base - Sch F 2.6 L.10</v>
      </c>
      <c r="AI319" s="6"/>
    </row>
    <row r="320" spans="1:35" ht="16.5" x14ac:dyDescent="0.3">
      <c r="A320" s="28"/>
      <c r="B320" s="28"/>
      <c r="C320" s="26"/>
      <c r="D320" s="1">
        <v>30</v>
      </c>
      <c r="E320" s="6" t="s">
        <v>131</v>
      </c>
      <c r="F320" s="22">
        <f>SUM(G320:AF320)</f>
        <v>45826259.705769487</v>
      </c>
      <c r="G320" s="22">
        <f t="shared" ref="G320:V320" si="89">+G216</f>
        <v>16272184.600654274</v>
      </c>
      <c r="H320" s="22">
        <f t="shared" si="89"/>
        <v>11107518.047789916</v>
      </c>
      <c r="I320" s="22">
        <f t="shared" si="89"/>
        <v>12715423.974815421</v>
      </c>
      <c r="J320" s="22">
        <f t="shared" si="89"/>
        <v>1169669.7695818304</v>
      </c>
      <c r="K320" s="22">
        <f t="shared" si="89"/>
        <v>1374574.7863875628</v>
      </c>
      <c r="L320" s="22">
        <f t="shared" si="89"/>
        <v>1223390.0107222435</v>
      </c>
      <c r="M320" s="22">
        <f t="shared" si="89"/>
        <v>336331.20560146339</v>
      </c>
      <c r="N320" s="22">
        <f t="shared" si="89"/>
        <v>119094.96259026047</v>
      </c>
      <c r="O320" s="22">
        <f t="shared" si="89"/>
        <v>210807.98087306492</v>
      </c>
      <c r="P320" s="22">
        <f t="shared" si="89"/>
        <v>169645.8535877004</v>
      </c>
      <c r="Q320" s="22">
        <f t="shared" si="89"/>
        <v>193880.17836927838</v>
      </c>
      <c r="R320" s="22">
        <f t="shared" si="89"/>
        <v>42515.417156305666</v>
      </c>
      <c r="S320" s="22">
        <f t="shared" si="89"/>
        <v>159621.71867377509</v>
      </c>
      <c r="T320" s="22">
        <f t="shared" si="89"/>
        <v>50307.81173397466</v>
      </c>
      <c r="U320" s="22">
        <f t="shared" si="89"/>
        <v>75647.492901248188</v>
      </c>
      <c r="V320" s="22">
        <f t="shared" si="89"/>
        <v>605645.89433116768</v>
      </c>
      <c r="X320" s="6"/>
      <c r="Y320" s="6"/>
      <c r="Z320" s="25"/>
      <c r="AA320" s="6"/>
      <c r="AB320" s="6"/>
      <c r="AC320" s="6" t="str">
        <f t="shared" si="75"/>
        <v>Return on Equity</v>
      </c>
      <c r="AD320" s="6"/>
      <c r="AE320" s="22">
        <v>0</v>
      </c>
      <c r="AF320" s="22">
        <v>0</v>
      </c>
      <c r="AG320" s="6"/>
      <c r="AH320" s="6" t="str">
        <f>+"Prorated on Rate Base - Sch F 2.6 L."&amp;$D$212</f>
        <v>Prorated on Rate Base - Sch F 2.6 L.12</v>
      </c>
      <c r="AI320" s="6"/>
    </row>
    <row r="321" spans="1:35" ht="16.5" x14ac:dyDescent="0.3">
      <c r="A321" s="28"/>
      <c r="B321" s="28"/>
      <c r="C321" s="26"/>
      <c r="D321" s="1"/>
      <c r="E321" s="6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X321" s="6"/>
      <c r="Y321" s="6"/>
      <c r="Z321" s="16"/>
      <c r="AA321" s="6"/>
      <c r="AB321" s="6"/>
      <c r="AC321" s="6" t="str">
        <f t="shared" si="75"/>
        <v/>
      </c>
      <c r="AD321" s="6"/>
      <c r="AE321" s="22"/>
      <c r="AF321" s="22"/>
      <c r="AG321" s="6"/>
      <c r="AH321" s="6"/>
      <c r="AI321" s="6"/>
    </row>
    <row r="322" spans="1:35" ht="17.25" thickBot="1" x14ac:dyDescent="0.35">
      <c r="A322" s="28">
        <f>SUM(G322:AF322)-F322</f>
        <v>0</v>
      </c>
      <c r="B322" s="28"/>
      <c r="C322" s="29"/>
      <c r="D322" s="1">
        <v>31</v>
      </c>
      <c r="E322" s="53" t="s">
        <v>208</v>
      </c>
      <c r="F322" s="55">
        <f>SUM(F314,F319,F316,F320)</f>
        <v>704167990.86005235</v>
      </c>
      <c r="G322" s="55">
        <f>SUM(G314,G319,G316,G320)</f>
        <v>311083725.97129142</v>
      </c>
      <c r="H322" s="55">
        <f>SUM(H314,H319,H316,H320)</f>
        <v>267515952.14355707</v>
      </c>
      <c r="I322" s="55">
        <f>SUM(I314,I319,I316,I320)</f>
        <v>75818019.684338778</v>
      </c>
      <c r="J322" s="55">
        <f t="shared" ref="J322:V322" si="90">SUM(J314,J319,J316,J320)</f>
        <v>9874390.8176542204</v>
      </c>
      <c r="K322" s="55">
        <f t="shared" si="90"/>
        <v>8008673.760563408</v>
      </c>
      <c r="L322" s="55">
        <f t="shared" si="90"/>
        <v>10876757.87171115</v>
      </c>
      <c r="M322" s="55">
        <f t="shared" si="90"/>
        <v>2970624.6354907085</v>
      </c>
      <c r="N322" s="55">
        <f t="shared" si="90"/>
        <v>1025239.3468381317</v>
      </c>
      <c r="O322" s="55">
        <f t="shared" si="90"/>
        <v>1814758.8438492136</v>
      </c>
      <c r="P322" s="55">
        <f t="shared" si="90"/>
        <v>1537031.5581136877</v>
      </c>
      <c r="Q322" s="55">
        <f t="shared" si="90"/>
        <v>1752594.642002244</v>
      </c>
      <c r="R322" s="55">
        <f t="shared" si="90"/>
        <v>479963.22362411057</v>
      </c>
      <c r="S322" s="55">
        <f t="shared" si="90"/>
        <v>1623277.0225820858</v>
      </c>
      <c r="T322" s="55">
        <f t="shared" si="90"/>
        <v>558440.70258938998</v>
      </c>
      <c r="U322" s="55">
        <f t="shared" si="90"/>
        <v>3670501.7292324845</v>
      </c>
      <c r="V322" s="55">
        <f t="shared" si="90"/>
        <v>3152003.7013810566</v>
      </c>
      <c r="X322" s="6"/>
      <c r="Y322" s="6"/>
      <c r="Z322" s="25"/>
      <c r="AA322" s="6"/>
      <c r="AB322" s="6"/>
      <c r="AC322" s="37" t="str">
        <f t="shared" si="75"/>
        <v>Total Revenue Reqmt</v>
      </c>
      <c r="AD322" s="20"/>
      <c r="AE322" s="55">
        <f>SUM(AE314,AE319,AE316,AE320)</f>
        <v>1431631.5682524573</v>
      </c>
      <c r="AF322" s="55">
        <f>SUM(AF314,AF319,AF316,AF320)</f>
        <v>974403.63698063209</v>
      </c>
      <c r="AG322" s="6"/>
      <c r="AH322" s="6"/>
      <c r="AI322" s="6"/>
    </row>
    <row r="323" spans="1:35" ht="17.25" thickTop="1" x14ac:dyDescent="0.3">
      <c r="A323" s="28"/>
      <c r="B323" s="28"/>
      <c r="C323" s="26"/>
      <c r="D323" s="1"/>
      <c r="E323" s="6"/>
      <c r="F323" s="23" t="s">
        <v>39</v>
      </c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</row>
    <row r="324" spans="1:35" ht="16.5" x14ac:dyDescent="0.3">
      <c r="A324" s="28"/>
      <c r="B324" s="28"/>
      <c r="C324" s="26"/>
      <c r="D324" s="1"/>
      <c r="E324" s="6" t="s">
        <v>209</v>
      </c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</row>
    <row r="325" spans="1:35" ht="16.5" x14ac:dyDescent="0.3">
      <c r="A325" s="28"/>
      <c r="B325" s="28"/>
      <c r="C325" s="26"/>
      <c r="D325" s="1"/>
      <c r="E325" s="6" t="str">
        <f>+"Rural Allocation="&amp;IF(RuralMarginSwitch=0,"Full","Partial")</f>
        <v>Rural Allocation=Full</v>
      </c>
      <c r="F325" s="23">
        <f>SUM(G325:V325)</f>
        <v>2102740029.6428947</v>
      </c>
      <c r="G325" s="23">
        <f>G116</f>
        <v>758094523.60939014</v>
      </c>
      <c r="H325" s="23">
        <f>H116</f>
        <v>476193156.3922801</v>
      </c>
      <c r="I325" s="23">
        <f>I116</f>
        <v>599698339.15013182</v>
      </c>
      <c r="J325" s="23">
        <f t="shared" ref="J325:U325" si="91">IF(RuralMarginSwitch=1,0,J116)</f>
        <v>54644492.255983904</v>
      </c>
      <c r="K325" s="23">
        <f t="shared" si="91"/>
        <v>65092491.7251537</v>
      </c>
      <c r="L325" s="23">
        <f t="shared" si="91"/>
        <v>57156656.032113455</v>
      </c>
      <c r="M325" s="23">
        <f t="shared" si="91"/>
        <v>15716305.651248157</v>
      </c>
      <c r="N325" s="23">
        <f t="shared" si="91"/>
        <v>5583684.1831743438</v>
      </c>
      <c r="O325" s="23">
        <f t="shared" si="91"/>
        <v>9883585.0222947523</v>
      </c>
      <c r="P325" s="23">
        <f t="shared" si="91"/>
        <v>7917691.3495333279</v>
      </c>
      <c r="Q325" s="23">
        <f t="shared" si="91"/>
        <v>9050377.5382101908</v>
      </c>
      <c r="R325" s="23">
        <f t="shared" si="91"/>
        <v>1967526.7689431286</v>
      </c>
      <c r="S325" s="23">
        <f t="shared" si="91"/>
        <v>7527362.2459018575</v>
      </c>
      <c r="T325" s="23">
        <f t="shared" si="91"/>
        <v>2350428.8690874116</v>
      </c>
      <c r="U325" s="23">
        <f t="shared" si="91"/>
        <v>3543748.5312603628</v>
      </c>
      <c r="V325" s="23">
        <f>V116</f>
        <v>28319660.318188228</v>
      </c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</row>
    <row r="326" spans="1:35" ht="16.5" x14ac:dyDescent="0.3">
      <c r="A326" s="28"/>
      <c r="B326" s="28"/>
      <c r="C326" s="26"/>
      <c r="D326" s="1"/>
      <c r="E326" s="6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</row>
    <row r="327" spans="1:35" ht="16.5" x14ac:dyDescent="0.3">
      <c r="A327" s="28"/>
      <c r="B327" s="28"/>
      <c r="C327" s="26" t="s">
        <v>210</v>
      </c>
      <c r="D327" s="1"/>
      <c r="E327" s="6" t="s">
        <v>211</v>
      </c>
      <c r="F327" s="22">
        <v>0</v>
      </c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</row>
    <row r="328" spans="1:35" ht="16.5" x14ac:dyDescent="0.3">
      <c r="A328" s="28"/>
      <c r="B328" s="28"/>
      <c r="C328" s="26"/>
      <c r="D328" s="1"/>
      <c r="E328" s="6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</row>
    <row r="329" spans="1:35" ht="16.5" x14ac:dyDescent="0.3">
      <c r="A329" s="28"/>
      <c r="B329" s="28"/>
      <c r="C329" s="26"/>
      <c r="D329" s="1"/>
      <c r="E329" s="6"/>
      <c r="F329" s="23">
        <f>F314-F413</f>
        <v>0</v>
      </c>
      <c r="G329" s="23">
        <f>G314-G413</f>
        <v>0</v>
      </c>
      <c r="H329" s="23">
        <f t="shared" ref="H329:U329" si="92">H314-H413</f>
        <v>0</v>
      </c>
      <c r="I329" s="23">
        <f t="shared" si="92"/>
        <v>0</v>
      </c>
      <c r="J329" s="23">
        <f t="shared" si="92"/>
        <v>0</v>
      </c>
      <c r="K329" s="23">
        <f t="shared" si="92"/>
        <v>0</v>
      </c>
      <c r="L329" s="23">
        <f t="shared" si="92"/>
        <v>0</v>
      </c>
      <c r="M329" s="23">
        <f t="shared" si="92"/>
        <v>0</v>
      </c>
      <c r="N329" s="23">
        <f t="shared" si="92"/>
        <v>0</v>
      </c>
      <c r="O329" s="23">
        <f t="shared" si="92"/>
        <v>0</v>
      </c>
      <c r="P329" s="23">
        <f t="shared" si="92"/>
        <v>0</v>
      </c>
      <c r="Q329" s="23">
        <f t="shared" si="92"/>
        <v>0</v>
      </c>
      <c r="R329" s="23">
        <f t="shared" si="92"/>
        <v>0</v>
      </c>
      <c r="S329" s="23">
        <f t="shared" si="92"/>
        <v>0</v>
      </c>
      <c r="T329" s="23">
        <f t="shared" si="92"/>
        <v>0</v>
      </c>
      <c r="U329" s="23">
        <f t="shared" si="92"/>
        <v>0</v>
      </c>
      <c r="V329" s="23">
        <f>V314-V413</f>
        <v>0</v>
      </c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</row>
    <row r="330" spans="1:35" ht="16.5" x14ac:dyDescent="0.3">
      <c r="A330" s="28"/>
      <c r="B330" s="28"/>
      <c r="C330" s="26"/>
      <c r="D330" s="1"/>
      <c r="E330" s="6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</row>
    <row r="331" spans="1:35" ht="16.5" x14ac:dyDescent="0.3">
      <c r="A331" s="28"/>
      <c r="B331" s="28"/>
      <c r="C331" s="26"/>
      <c r="D331" s="1"/>
      <c r="E331" s="6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</row>
    <row r="332" spans="1:35" ht="16.5" x14ac:dyDescent="0.3">
      <c r="A332" s="28"/>
      <c r="B332" s="28"/>
      <c r="C332" s="26"/>
      <c r="D332" s="1"/>
      <c r="E332" s="6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</row>
    <row r="333" spans="1:35" ht="16.5" x14ac:dyDescent="0.3">
      <c r="A333" s="28"/>
      <c r="B333" s="28"/>
      <c r="C333" s="26"/>
      <c r="D333" s="1"/>
      <c r="E333" s="6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42" t="s">
        <v>212</v>
      </c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42" t="str">
        <f>+V333</f>
        <v>Schedule F 3.1A</v>
      </c>
    </row>
    <row r="334" spans="1:35" ht="16.5" x14ac:dyDescent="0.3">
      <c r="A334" s="28"/>
      <c r="B334" s="28"/>
      <c r="C334" s="26"/>
      <c r="D334" s="1"/>
      <c r="E334" s="6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42" t="s">
        <v>3</v>
      </c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7" t="s">
        <v>4</v>
      </c>
    </row>
    <row r="335" spans="1:35" ht="16.5" x14ac:dyDescent="0.3">
      <c r="A335" s="28"/>
      <c r="B335" s="28"/>
      <c r="C335" s="26"/>
      <c r="D335" s="1"/>
      <c r="E335" s="6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</row>
    <row r="336" spans="1:35" ht="16.5" x14ac:dyDescent="0.3">
      <c r="A336" s="43"/>
      <c r="B336" s="43"/>
      <c r="C336" s="44"/>
      <c r="D336" s="8" t="str">
        <f>D5</f>
        <v>NEWFOUNDLAND AND LABRADOR HYDRO</v>
      </c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10"/>
      <c r="X336" s="6"/>
      <c r="Y336" s="6"/>
      <c r="Z336" s="6"/>
      <c r="AA336" s="9" t="s">
        <v>6</v>
      </c>
      <c r="AB336" s="9"/>
      <c r="AC336" s="10"/>
      <c r="AD336" s="9"/>
      <c r="AE336" s="9"/>
      <c r="AF336" s="9"/>
      <c r="AG336" s="9"/>
      <c r="AH336" s="11"/>
      <c r="AI336" s="11"/>
    </row>
    <row r="337" spans="1:35" ht="16.5" x14ac:dyDescent="0.3">
      <c r="A337" s="43"/>
      <c r="B337" s="43"/>
      <c r="C337" s="44"/>
      <c r="D337" s="8" t="str">
        <f>D6</f>
        <v>2027 Test Year Cost of Service Study</v>
      </c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10"/>
      <c r="X337" s="6"/>
      <c r="Y337" s="6"/>
      <c r="Z337" s="6"/>
      <c r="AA337" s="9" t="str">
        <f>RunName</f>
        <v>2027 Test Year Cost of Service Study</v>
      </c>
      <c r="AB337" s="9"/>
      <c r="AC337" s="10"/>
      <c r="AD337" s="9"/>
      <c r="AE337" s="9"/>
      <c r="AF337" s="9"/>
      <c r="AG337" s="9"/>
      <c r="AH337" s="11"/>
      <c r="AI337" s="11"/>
    </row>
    <row r="338" spans="1:35" ht="16.5" x14ac:dyDescent="0.3">
      <c r="A338" s="43"/>
      <c r="B338" s="43"/>
      <c r="C338" s="44"/>
      <c r="D338" s="8" t="str">
        <f>$B$1</f>
        <v>Island Interconnected</v>
      </c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10"/>
      <c r="X338" s="6"/>
      <c r="Y338" s="6"/>
      <c r="Z338" s="6"/>
      <c r="AA338" s="9" t="str">
        <f>$B$1</f>
        <v>Island Interconnected</v>
      </c>
      <c r="AB338" s="9"/>
      <c r="AC338" s="10"/>
      <c r="AD338" s="9"/>
      <c r="AE338" s="9"/>
      <c r="AF338" s="9"/>
      <c r="AG338" s="9"/>
      <c r="AH338" s="11"/>
      <c r="AI338" s="11"/>
    </row>
    <row r="339" spans="1:35" ht="16.5" x14ac:dyDescent="0.3">
      <c r="A339" s="43"/>
      <c r="B339" s="43"/>
      <c r="C339" s="44"/>
      <c r="D339" s="8" t="s">
        <v>213</v>
      </c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10"/>
      <c r="X339" s="6"/>
      <c r="Y339" s="6"/>
      <c r="Z339" s="6"/>
      <c r="AA339" s="9" t="str">
        <f>+D339&amp;" (CONT'D.)"</f>
        <v>Basis of Allocation to Classes of Service (CONT'D.)</v>
      </c>
      <c r="AB339" s="9"/>
      <c r="AC339" s="10"/>
      <c r="AD339" s="9"/>
      <c r="AE339" s="9"/>
      <c r="AF339" s="9"/>
      <c r="AG339" s="9"/>
      <c r="AH339" s="11"/>
      <c r="AI339" s="11"/>
    </row>
    <row r="340" spans="1:35" ht="16.5" x14ac:dyDescent="0.3">
      <c r="A340" s="28"/>
      <c r="B340" s="28"/>
      <c r="C340" s="26"/>
      <c r="D340" s="1"/>
      <c r="E340" s="6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X340" s="6"/>
      <c r="Y340" s="6"/>
      <c r="Z340" s="1"/>
      <c r="AA340" s="1"/>
      <c r="AB340" s="1"/>
      <c r="AC340" s="1"/>
      <c r="AD340" s="6"/>
      <c r="AE340" s="6"/>
      <c r="AF340" s="6"/>
      <c r="AG340" s="6"/>
      <c r="AH340" s="6"/>
      <c r="AI340" s="6"/>
    </row>
    <row r="341" spans="1:35" ht="16.5" x14ac:dyDescent="0.3">
      <c r="A341" s="45"/>
      <c r="B341" s="45"/>
      <c r="C341" s="45"/>
      <c r="D341" s="1"/>
      <c r="E341" s="1">
        <f t="shared" ref="E341:V341" si="93">MAX(D341)+NoOne</f>
        <v>1</v>
      </c>
      <c r="F341" s="1">
        <f t="shared" si="93"/>
        <v>2</v>
      </c>
      <c r="G341" s="1">
        <f t="shared" si="93"/>
        <v>3</v>
      </c>
      <c r="H341" s="1">
        <f t="shared" si="93"/>
        <v>4</v>
      </c>
      <c r="I341" s="1">
        <f t="shared" si="93"/>
        <v>5</v>
      </c>
      <c r="J341" s="1">
        <f t="shared" si="93"/>
        <v>6</v>
      </c>
      <c r="K341" s="1">
        <f t="shared" si="93"/>
        <v>7</v>
      </c>
      <c r="L341" s="1">
        <f t="shared" si="93"/>
        <v>8</v>
      </c>
      <c r="M341" s="1">
        <f t="shared" si="93"/>
        <v>9</v>
      </c>
      <c r="N341" s="1">
        <f t="shared" si="93"/>
        <v>10</v>
      </c>
      <c r="O341" s="1">
        <f t="shared" si="93"/>
        <v>11</v>
      </c>
      <c r="P341" s="1">
        <f t="shared" si="93"/>
        <v>12</v>
      </c>
      <c r="Q341" s="1">
        <f t="shared" si="93"/>
        <v>13</v>
      </c>
      <c r="R341" s="1">
        <f t="shared" si="93"/>
        <v>14</v>
      </c>
      <c r="S341" s="1">
        <f t="shared" si="93"/>
        <v>15</v>
      </c>
      <c r="T341" s="1">
        <f t="shared" si="93"/>
        <v>16</v>
      </c>
      <c r="U341" s="1">
        <f t="shared" si="93"/>
        <v>17</v>
      </c>
      <c r="V341" s="1">
        <f t="shared" si="93"/>
        <v>18</v>
      </c>
      <c r="X341" s="6"/>
      <c r="Y341" s="6"/>
      <c r="Z341" s="6"/>
      <c r="AA341" s="6"/>
      <c r="AB341" s="6"/>
      <c r="AC341" s="1">
        <v>1</v>
      </c>
      <c r="AD341" s="13"/>
      <c r="AE341" s="1">
        <v>19</v>
      </c>
      <c r="AF341" s="1">
        <v>20</v>
      </c>
      <c r="AG341" s="6"/>
      <c r="AH341" s="6"/>
      <c r="AI341" s="6"/>
    </row>
    <row r="342" spans="1:35" ht="16.5" x14ac:dyDescent="0.3">
      <c r="A342" s="28"/>
      <c r="B342" s="28"/>
      <c r="C342" s="26"/>
      <c r="D342" s="1"/>
      <c r="E342" s="6"/>
      <c r="F342" s="23"/>
      <c r="G342" s="13"/>
      <c r="H342" s="13"/>
      <c r="I342" s="13"/>
      <c r="J342" s="13" t="s">
        <v>8</v>
      </c>
      <c r="K342" s="47" t="s">
        <v>9</v>
      </c>
      <c r="L342" s="47"/>
      <c r="M342" s="47"/>
      <c r="N342" s="47"/>
      <c r="O342" s="47"/>
      <c r="P342" s="47"/>
      <c r="Q342" s="47"/>
      <c r="R342" s="47"/>
      <c r="S342" s="47"/>
      <c r="T342" s="47"/>
      <c r="U342" s="23"/>
      <c r="V342" s="25" t="s">
        <v>10</v>
      </c>
      <c r="X342" s="6"/>
      <c r="Y342" s="6"/>
      <c r="Z342" s="6"/>
      <c r="AA342" s="13"/>
      <c r="AB342" s="13"/>
      <c r="AC342" s="12"/>
      <c r="AD342" s="12"/>
      <c r="AE342" s="78" t="s">
        <v>135</v>
      </c>
      <c r="AF342" s="65"/>
      <c r="AG342" s="13"/>
      <c r="AH342" s="13"/>
      <c r="AI342" s="13"/>
    </row>
    <row r="343" spans="1:35" ht="16.5" x14ac:dyDescent="0.3">
      <c r="A343" s="28"/>
      <c r="B343" s="28"/>
      <c r="C343" s="26"/>
      <c r="D343" s="1" t="s">
        <v>14</v>
      </c>
      <c r="E343" s="6"/>
      <c r="F343" s="25" t="s">
        <v>15</v>
      </c>
      <c r="G343" s="13" t="s">
        <v>16</v>
      </c>
      <c r="H343" s="13" t="s">
        <v>16</v>
      </c>
      <c r="I343" s="13" t="s">
        <v>17</v>
      </c>
      <c r="J343" s="25" t="s">
        <v>17</v>
      </c>
      <c r="K343" s="25" t="s">
        <v>18</v>
      </c>
      <c r="L343" s="47" t="s">
        <v>19</v>
      </c>
      <c r="M343" s="47"/>
      <c r="N343" s="47" t="s">
        <v>20</v>
      </c>
      <c r="O343" s="47"/>
      <c r="P343" s="47" t="s">
        <v>21</v>
      </c>
      <c r="Q343" s="47"/>
      <c r="R343" s="48" t="s">
        <v>22</v>
      </c>
      <c r="S343" s="48" t="s">
        <v>23</v>
      </c>
      <c r="T343" s="49" t="s">
        <v>24</v>
      </c>
      <c r="U343" s="48" t="s">
        <v>25</v>
      </c>
      <c r="V343" s="25" t="s">
        <v>26</v>
      </c>
      <c r="X343" s="6"/>
      <c r="Y343" s="6"/>
      <c r="Z343" s="6"/>
      <c r="AA343" s="6"/>
      <c r="AB343" s="6"/>
      <c r="AC343" s="13"/>
      <c r="AD343" s="13"/>
      <c r="AE343" s="13" t="s">
        <v>136</v>
      </c>
      <c r="AF343" s="13" t="s">
        <v>137</v>
      </c>
      <c r="AG343" s="6"/>
      <c r="AH343" s="6"/>
      <c r="AI343" s="6"/>
    </row>
    <row r="344" spans="1:35" ht="16.5" x14ac:dyDescent="0.3">
      <c r="A344" s="28"/>
      <c r="B344" s="28"/>
      <c r="C344" s="26"/>
      <c r="D344" s="1" t="s">
        <v>30</v>
      </c>
      <c r="E344" s="6" t="s">
        <v>31</v>
      </c>
      <c r="F344" s="25" t="s">
        <v>32</v>
      </c>
      <c r="G344" s="25" t="s">
        <v>33</v>
      </c>
      <c r="H344" s="25" t="s">
        <v>34</v>
      </c>
      <c r="I344" s="13" t="s">
        <v>33</v>
      </c>
      <c r="J344" s="25" t="s">
        <v>33</v>
      </c>
      <c r="K344" s="25" t="s">
        <v>33</v>
      </c>
      <c r="L344" s="25" t="s">
        <v>33</v>
      </c>
      <c r="M344" s="25" t="s">
        <v>35</v>
      </c>
      <c r="N344" s="25" t="s">
        <v>33</v>
      </c>
      <c r="O344" s="25" t="s">
        <v>35</v>
      </c>
      <c r="P344" s="25" t="s">
        <v>33</v>
      </c>
      <c r="Q344" s="25" t="s">
        <v>35</v>
      </c>
      <c r="R344" s="25" t="s">
        <v>35</v>
      </c>
      <c r="S344" s="25" t="s">
        <v>35</v>
      </c>
      <c r="T344" s="25" t="s">
        <v>35</v>
      </c>
      <c r="U344" s="25" t="s">
        <v>35</v>
      </c>
      <c r="V344" s="25" t="s">
        <v>35</v>
      </c>
      <c r="X344" s="6"/>
      <c r="Y344" s="6"/>
      <c r="Z344" s="6"/>
      <c r="AA344" s="6"/>
      <c r="AB344" s="6"/>
      <c r="AC344" s="13" t="s">
        <v>31</v>
      </c>
      <c r="AD344" s="13"/>
      <c r="AE344" s="13" t="s">
        <v>138</v>
      </c>
      <c r="AF344" s="13" t="s">
        <v>139</v>
      </c>
      <c r="AG344" s="6"/>
      <c r="AH344" s="6"/>
      <c r="AI344" s="6"/>
    </row>
    <row r="345" spans="1:35" ht="16.5" x14ac:dyDescent="0.3">
      <c r="A345" s="28"/>
      <c r="B345" s="28"/>
      <c r="C345" s="26"/>
      <c r="D345" s="1"/>
      <c r="E345" s="6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X345" s="6"/>
      <c r="Y345" s="6"/>
      <c r="Z345" s="6"/>
      <c r="AA345" s="6"/>
      <c r="AB345" s="6"/>
      <c r="AC345" s="13"/>
      <c r="AD345" s="13"/>
      <c r="AE345" s="83" t="s">
        <v>214</v>
      </c>
      <c r="AF345" s="83" t="s">
        <v>214</v>
      </c>
      <c r="AG345" s="6"/>
      <c r="AH345" s="6"/>
      <c r="AI345" s="6"/>
    </row>
    <row r="346" spans="1:35" ht="16.5" x14ac:dyDescent="0.3">
      <c r="A346" s="28"/>
      <c r="B346" s="28"/>
      <c r="C346" s="26"/>
      <c r="D346" s="1" t="s">
        <v>39</v>
      </c>
      <c r="E346" s="6"/>
      <c r="F346" s="23"/>
      <c r="G346" s="25" t="s">
        <v>215</v>
      </c>
      <c r="H346" s="25" t="s">
        <v>216</v>
      </c>
      <c r="I346" s="84" t="s">
        <v>217</v>
      </c>
      <c r="J346" s="84" t="s">
        <v>217</v>
      </c>
      <c r="K346" s="84" t="s">
        <v>217</v>
      </c>
      <c r="L346" s="84" t="s">
        <v>217</v>
      </c>
      <c r="M346" s="25" t="s">
        <v>218</v>
      </c>
      <c r="N346" s="25" t="s">
        <v>217</v>
      </c>
      <c r="O346" s="25" t="s">
        <v>218</v>
      </c>
      <c r="P346" s="25" t="s">
        <v>217</v>
      </c>
      <c r="Q346" s="25" t="s">
        <v>218</v>
      </c>
      <c r="R346" s="85" t="s">
        <v>219</v>
      </c>
      <c r="S346" s="85"/>
      <c r="T346" s="23"/>
      <c r="U346" s="23" t="s">
        <v>218</v>
      </c>
      <c r="V346" s="23"/>
      <c r="X346" s="6"/>
      <c r="Y346" s="6"/>
      <c r="Z346" s="6"/>
      <c r="AA346" s="6"/>
      <c r="AB346" s="6"/>
      <c r="AC346" s="6" t="str">
        <f t="shared" ref="AC346:AC380" si="94">IF(ISBLANK(E346),"",E346)</f>
        <v/>
      </c>
      <c r="AD346" s="6"/>
      <c r="AE346" s="13" t="s">
        <v>220</v>
      </c>
      <c r="AF346" s="13" t="s">
        <v>221</v>
      </c>
      <c r="AG346" s="6"/>
      <c r="AH346" s="6"/>
      <c r="AI346" s="6"/>
    </row>
    <row r="347" spans="1:35" ht="16.5" x14ac:dyDescent="0.3">
      <c r="A347" s="28"/>
      <c r="B347" s="28"/>
      <c r="C347" s="26"/>
      <c r="D347" s="1"/>
      <c r="E347" s="6" t="s">
        <v>39</v>
      </c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X347" s="6"/>
      <c r="Y347" s="6"/>
      <c r="Z347" s="6"/>
      <c r="AA347" s="6"/>
      <c r="AB347" s="6"/>
      <c r="AC347" s="6" t="str">
        <f t="shared" si="94"/>
        <v xml:space="preserve"> </v>
      </c>
      <c r="AD347" s="6"/>
      <c r="AE347" s="22"/>
      <c r="AF347" s="22"/>
      <c r="AG347" s="6"/>
      <c r="AH347" s="6"/>
      <c r="AI347" s="6"/>
    </row>
    <row r="348" spans="1:35" ht="16.5" x14ac:dyDescent="0.3">
      <c r="A348" s="28"/>
      <c r="B348" s="28"/>
      <c r="C348" s="26"/>
      <c r="D348" s="1"/>
      <c r="E348" s="20" t="s">
        <v>222</v>
      </c>
      <c r="F348" s="23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3"/>
      <c r="U348" s="23"/>
      <c r="V348" s="23"/>
      <c r="X348" s="6"/>
      <c r="Y348" s="6"/>
      <c r="Z348" s="6"/>
      <c r="AA348" s="6"/>
      <c r="AB348" s="6"/>
      <c r="AC348" s="20" t="str">
        <f t="shared" si="94"/>
        <v>Amounts</v>
      </c>
      <c r="AD348" s="6"/>
      <c r="AE348" s="6"/>
      <c r="AF348" s="6"/>
      <c r="AG348" s="6"/>
      <c r="AH348" s="6"/>
      <c r="AI348" s="6"/>
    </row>
    <row r="349" spans="1:35" ht="16.5" x14ac:dyDescent="0.3">
      <c r="A349" s="19"/>
      <c r="B349" s="28"/>
      <c r="C349" s="28" t="s">
        <v>223</v>
      </c>
      <c r="D349" s="1">
        <v>1</v>
      </c>
      <c r="E349" s="6" t="s">
        <v>224</v>
      </c>
      <c r="F349" s="86" t="s">
        <v>225</v>
      </c>
      <c r="G349" s="22">
        <v>1459197.7922357633</v>
      </c>
      <c r="H349" s="22">
        <v>6292250.3375076158</v>
      </c>
      <c r="I349" s="22">
        <v>1435868.6189540578</v>
      </c>
      <c r="J349" s="22">
        <v>0</v>
      </c>
      <c r="K349" s="22">
        <v>0</v>
      </c>
      <c r="L349" s="22">
        <v>0</v>
      </c>
      <c r="M349" s="22">
        <v>0</v>
      </c>
      <c r="N349" s="22">
        <v>0</v>
      </c>
      <c r="O349" s="22">
        <v>0</v>
      </c>
      <c r="P349" s="22">
        <v>0</v>
      </c>
      <c r="Q349" s="22">
        <v>0</v>
      </c>
      <c r="R349" s="22">
        <v>0</v>
      </c>
      <c r="S349" s="22">
        <v>0</v>
      </c>
      <c r="T349" s="22">
        <v>0</v>
      </c>
      <c r="U349" s="22">
        <v>0</v>
      </c>
      <c r="V349" s="22">
        <v>0</v>
      </c>
      <c r="X349" s="6"/>
      <c r="Y349" s="6"/>
      <c r="Z349" s="6"/>
      <c r="AA349" s="6"/>
      <c r="AB349" s="6"/>
      <c r="AC349" s="6" t="str">
        <f t="shared" si="94"/>
        <v>Newfoundland Power</v>
      </c>
      <c r="AD349" s="6"/>
      <c r="AE349" s="22">
        <v>0</v>
      </c>
      <c r="AF349" s="22">
        <v>484507755</v>
      </c>
      <c r="AG349" s="6"/>
      <c r="AH349" s="6"/>
      <c r="AI349" s="6"/>
    </row>
    <row r="350" spans="1:35" ht="16.5" x14ac:dyDescent="0.3">
      <c r="A350" s="19"/>
      <c r="B350" s="28"/>
      <c r="C350" s="28" t="s">
        <v>226</v>
      </c>
      <c r="D350" s="1">
        <v>2</v>
      </c>
      <c r="E350" s="17" t="s">
        <v>227</v>
      </c>
      <c r="F350" s="86" t="s">
        <v>225</v>
      </c>
      <c r="G350" s="22">
        <v>81910.551160551287</v>
      </c>
      <c r="H350" s="22">
        <v>641688.15407828812</v>
      </c>
      <c r="I350" s="22">
        <v>78487.191974464193</v>
      </c>
      <c r="J350" s="22">
        <v>0</v>
      </c>
      <c r="K350" s="22">
        <v>0</v>
      </c>
      <c r="L350" s="22">
        <v>0</v>
      </c>
      <c r="M350" s="22">
        <v>0</v>
      </c>
      <c r="N350" s="22">
        <v>0</v>
      </c>
      <c r="O350" s="22">
        <v>0</v>
      </c>
      <c r="P350" s="22">
        <v>0</v>
      </c>
      <c r="Q350" s="22">
        <v>0</v>
      </c>
      <c r="R350" s="22">
        <v>0</v>
      </c>
      <c r="S350" s="22">
        <v>0</v>
      </c>
      <c r="T350" s="22">
        <v>0</v>
      </c>
      <c r="U350" s="22">
        <v>0</v>
      </c>
      <c r="V350" s="22">
        <v>0</v>
      </c>
      <c r="X350" s="6"/>
      <c r="Y350" s="6"/>
      <c r="Z350" s="6"/>
      <c r="AA350" s="6"/>
      <c r="AB350" s="6"/>
      <c r="AC350" s="17" t="str">
        <f t="shared" si="94"/>
        <v>Industrial - Firm</v>
      </c>
      <c r="AD350" s="6"/>
      <c r="AE350" s="22">
        <v>0</v>
      </c>
      <c r="AF350" s="22">
        <v>43914366</v>
      </c>
      <c r="AG350" s="6"/>
      <c r="AH350" s="6"/>
      <c r="AI350" s="6"/>
    </row>
    <row r="351" spans="1:35" ht="16.5" x14ac:dyDescent="0.3">
      <c r="A351" s="19"/>
      <c r="B351" s="28"/>
      <c r="C351" s="28" t="s">
        <v>228</v>
      </c>
      <c r="D351" s="1">
        <v>3</v>
      </c>
      <c r="E351" s="17" t="s">
        <v>229</v>
      </c>
      <c r="F351" s="86" t="s">
        <v>225</v>
      </c>
      <c r="G351" s="22">
        <v>0</v>
      </c>
      <c r="H351" s="22">
        <v>0</v>
      </c>
      <c r="I351" s="22">
        <v>0</v>
      </c>
      <c r="J351" s="22">
        <v>0</v>
      </c>
      <c r="K351" s="22">
        <v>0</v>
      </c>
      <c r="L351" s="22">
        <v>0</v>
      </c>
      <c r="M351" s="22">
        <v>0</v>
      </c>
      <c r="N351" s="22">
        <v>0</v>
      </c>
      <c r="O351" s="22">
        <v>0</v>
      </c>
      <c r="P351" s="22">
        <v>0</v>
      </c>
      <c r="Q351" s="22">
        <v>0</v>
      </c>
      <c r="R351" s="22">
        <v>0</v>
      </c>
      <c r="S351" s="22">
        <v>0</v>
      </c>
      <c r="T351" s="22">
        <v>0</v>
      </c>
      <c r="U351" s="22">
        <v>0</v>
      </c>
      <c r="V351" s="22">
        <v>0</v>
      </c>
      <c r="X351" s="6"/>
      <c r="Y351" s="6"/>
      <c r="Z351" s="6"/>
      <c r="AA351" s="6"/>
      <c r="AB351" s="6"/>
      <c r="AC351" s="17" t="str">
        <f t="shared" si="94"/>
        <v>Industrial - Non-Firm</v>
      </c>
      <c r="AD351" s="6"/>
      <c r="AE351" s="22">
        <v>0</v>
      </c>
      <c r="AF351" s="22">
        <v>0</v>
      </c>
      <c r="AG351" s="6"/>
      <c r="AH351" s="6"/>
      <c r="AI351" s="6"/>
    </row>
    <row r="352" spans="1:35" ht="16.5" x14ac:dyDescent="0.3">
      <c r="A352" s="19"/>
      <c r="B352" s="28"/>
      <c r="C352" s="28"/>
      <c r="D352" s="1" t="s">
        <v>39</v>
      </c>
      <c r="E352" s="20" t="s">
        <v>230</v>
      </c>
      <c r="F352" s="86" t="s">
        <v>39</v>
      </c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X352" s="6"/>
      <c r="Y352" s="6"/>
      <c r="Z352" s="6"/>
      <c r="AA352" s="6"/>
      <c r="AB352" s="6"/>
      <c r="AC352" s="20" t="str">
        <f t="shared" si="94"/>
        <v>Rural</v>
      </c>
      <c r="AD352" s="6"/>
      <c r="AE352" s="6"/>
      <c r="AF352" s="6"/>
      <c r="AG352" s="6"/>
      <c r="AH352" s="6"/>
      <c r="AI352" s="6"/>
    </row>
    <row r="353" spans="1:35" ht="16.5" x14ac:dyDescent="0.3">
      <c r="A353" s="19"/>
      <c r="B353" s="28"/>
      <c r="C353" s="28" t="s">
        <v>231</v>
      </c>
      <c r="D353" s="1">
        <f t="shared" ref="D353" si="95">MAX(D350:D352)+NoOne</f>
        <v>4</v>
      </c>
      <c r="E353" s="6" t="s">
        <v>232</v>
      </c>
      <c r="F353" s="86" t="s">
        <v>225</v>
      </c>
      <c r="G353" s="22">
        <v>33032.894404811479</v>
      </c>
      <c r="H353" s="22">
        <v>123930.29141337438</v>
      </c>
      <c r="I353" s="22">
        <v>31652.321805780819</v>
      </c>
      <c r="J353" s="22">
        <v>31652.321805780819</v>
      </c>
      <c r="K353" s="22">
        <v>29316.627237629978</v>
      </c>
      <c r="L353" s="22">
        <v>29316.627237629978</v>
      </c>
      <c r="M353" s="22">
        <v>11493.898665000001</v>
      </c>
      <c r="N353" s="22">
        <v>25936.41080084311</v>
      </c>
      <c r="O353" s="22">
        <v>11493.898665000001</v>
      </c>
      <c r="P353" s="22">
        <v>25936.41080084311</v>
      </c>
      <c r="Q353" s="22">
        <v>11493.898665000001</v>
      </c>
      <c r="R353" s="22">
        <v>11493.898665000001</v>
      </c>
      <c r="S353" s="22">
        <v>11493.898665000001</v>
      </c>
      <c r="T353" s="22">
        <v>0</v>
      </c>
      <c r="U353" s="22">
        <v>11493.898665000001</v>
      </c>
      <c r="V353" s="22">
        <v>0</v>
      </c>
      <c r="X353" s="6"/>
      <c r="Y353" s="6"/>
      <c r="Z353" s="6"/>
      <c r="AA353" s="6"/>
      <c r="AB353" s="6"/>
      <c r="AC353" s="6" t="str">
        <f t="shared" si="94"/>
        <v>1.1 Domestic</v>
      </c>
      <c r="AD353" s="6"/>
      <c r="AE353" s="22">
        <v>13704052.872268097</v>
      </c>
      <c r="AF353" s="22">
        <v>13704052.872268097</v>
      </c>
      <c r="AG353" s="6"/>
      <c r="AH353" s="6"/>
      <c r="AI353" s="6"/>
    </row>
    <row r="354" spans="1:35" ht="16.5" x14ac:dyDescent="0.3">
      <c r="A354" s="19"/>
      <c r="B354" s="28"/>
      <c r="C354" s="28" t="s">
        <v>233</v>
      </c>
      <c r="D354" s="1">
        <f t="shared" ref="D354" si="96">MAX(D351:D353)+NoOne</f>
        <v>5</v>
      </c>
      <c r="E354" s="6" t="s">
        <v>234</v>
      </c>
      <c r="F354" s="86" t="s">
        <v>225</v>
      </c>
      <c r="G354" s="22">
        <v>38341.390881527077</v>
      </c>
      <c r="H354" s="22">
        <v>167083.2059911135</v>
      </c>
      <c r="I354" s="22">
        <v>36738.955654051213</v>
      </c>
      <c r="J354" s="22">
        <v>36738.955654051213</v>
      </c>
      <c r="K354" s="22">
        <v>34027.907166447694</v>
      </c>
      <c r="L354" s="22">
        <v>34027.907166447694</v>
      </c>
      <c r="M354" s="22">
        <v>8713.6013349999994</v>
      </c>
      <c r="N354" s="22">
        <v>30104.478656709522</v>
      </c>
      <c r="O354" s="22">
        <v>8713.6013349999994</v>
      </c>
      <c r="P354" s="22">
        <v>30104.478656709522</v>
      </c>
      <c r="Q354" s="22">
        <v>8713.6013349999994</v>
      </c>
      <c r="R354" s="22">
        <v>8713.6013349999994</v>
      </c>
      <c r="S354" s="22">
        <v>8713.6013349999994</v>
      </c>
      <c r="T354" s="22">
        <v>0</v>
      </c>
      <c r="U354" s="22">
        <v>8713.6013349999994</v>
      </c>
      <c r="V354" s="22">
        <v>0</v>
      </c>
      <c r="X354" s="6"/>
      <c r="Y354" s="6"/>
      <c r="Z354" s="6"/>
      <c r="AA354" s="6"/>
      <c r="AB354" s="6"/>
      <c r="AC354" s="6" t="str">
        <f t="shared" si="94"/>
        <v xml:space="preserve">1.12 Domestic All Electric </v>
      </c>
      <c r="AD354" s="6"/>
      <c r="AE354" s="22">
        <v>17350912.632529691</v>
      </c>
      <c r="AF354" s="22">
        <v>17350912.632529691</v>
      </c>
      <c r="AG354" s="6"/>
      <c r="AH354" s="6"/>
      <c r="AI354" s="6"/>
    </row>
    <row r="355" spans="1:35" ht="16.5" x14ac:dyDescent="0.3">
      <c r="A355" s="19"/>
      <c r="B355" s="28"/>
      <c r="C355" s="28" t="s">
        <v>235</v>
      </c>
      <c r="D355" s="1">
        <f t="shared" ref="D355" si="97">MAX(D352:D354)+NoOne</f>
        <v>6</v>
      </c>
      <c r="E355" s="6" t="s">
        <v>236</v>
      </c>
      <c r="F355" s="86" t="s">
        <v>225</v>
      </c>
      <c r="G355" s="22">
        <v>132.87059119312002</v>
      </c>
      <c r="H355" s="22">
        <v>392.92058243454392</v>
      </c>
      <c r="I355" s="22">
        <v>127.3174145574236</v>
      </c>
      <c r="J355" s="22">
        <v>127.3174145574236</v>
      </c>
      <c r="K355" s="22">
        <v>117.9223820085484</v>
      </c>
      <c r="L355" s="22">
        <v>117.9223820085484</v>
      </c>
      <c r="M355" s="22">
        <v>1</v>
      </c>
      <c r="N355" s="22">
        <v>104.32589388938578</v>
      </c>
      <c r="O355" s="22">
        <v>1</v>
      </c>
      <c r="P355" s="22">
        <v>104.32589388938578</v>
      </c>
      <c r="Q355" s="22">
        <v>1</v>
      </c>
      <c r="R355" s="22">
        <v>1</v>
      </c>
      <c r="S355" s="22">
        <v>1</v>
      </c>
      <c r="T355" s="22">
        <v>0</v>
      </c>
      <c r="U355" s="22">
        <v>1</v>
      </c>
      <c r="V355" s="22">
        <v>0</v>
      </c>
      <c r="X355" s="6"/>
      <c r="Y355" s="6"/>
      <c r="Z355" s="6"/>
      <c r="AA355" s="6"/>
      <c r="AB355" s="6"/>
      <c r="AC355" s="6" t="str">
        <f t="shared" si="94"/>
        <v>1.3 Special</v>
      </c>
      <c r="AD355" s="6"/>
      <c r="AE355" s="22">
        <v>19223.399999999998</v>
      </c>
      <c r="AF355" s="22">
        <v>19223.399999999998</v>
      </c>
      <c r="AG355" s="6"/>
      <c r="AH355" s="6"/>
      <c r="AI355" s="6"/>
    </row>
    <row r="356" spans="1:35" ht="16.5" x14ac:dyDescent="0.3">
      <c r="A356" s="19"/>
      <c r="B356" s="28"/>
      <c r="C356" s="28" t="s">
        <v>237</v>
      </c>
      <c r="D356" s="1">
        <f t="shared" ref="D356" si="98">MAX(D353:D355)+NoOne</f>
        <v>7</v>
      </c>
      <c r="E356" s="6" t="s">
        <v>238</v>
      </c>
      <c r="F356" s="86" t="s">
        <v>225</v>
      </c>
      <c r="G356" s="22">
        <v>15206.722803502131</v>
      </c>
      <c r="H356" s="22">
        <v>82954.250923847998</v>
      </c>
      <c r="I356" s="22">
        <v>14571.174959395807</v>
      </c>
      <c r="J356" s="22">
        <v>14571.174959395807</v>
      </c>
      <c r="K356" s="22">
        <v>13495.935853302155</v>
      </c>
      <c r="L356" s="22">
        <v>13495.935853302155</v>
      </c>
      <c r="M356" s="22">
        <v>3041.5</v>
      </c>
      <c r="N356" s="22">
        <v>11939.850160654752</v>
      </c>
      <c r="O356" s="22">
        <v>3041.5</v>
      </c>
      <c r="P356" s="22">
        <v>11939.850160654752</v>
      </c>
      <c r="Q356" s="22">
        <v>3041.5</v>
      </c>
      <c r="R356" s="22">
        <v>14508.335746630346</v>
      </c>
      <c r="S356" s="22">
        <v>14508.335746630346</v>
      </c>
      <c r="T356" s="22">
        <v>0</v>
      </c>
      <c r="U356" s="22">
        <v>3041.5</v>
      </c>
      <c r="V356" s="22">
        <v>0</v>
      </c>
      <c r="X356" s="6"/>
      <c r="Y356" s="6"/>
      <c r="Z356" s="6"/>
      <c r="AA356" s="6"/>
      <c r="AB356" s="6"/>
      <c r="AC356" s="6" t="str">
        <f t="shared" si="94"/>
        <v>2.1 GS 0-10 kW</v>
      </c>
      <c r="AD356" s="6"/>
      <c r="AE356" s="22">
        <v>9465474.5587237813</v>
      </c>
      <c r="AF356" s="22">
        <v>9465474.5587237813</v>
      </c>
      <c r="AG356" s="6"/>
      <c r="AH356" s="6"/>
      <c r="AI356" s="6"/>
    </row>
    <row r="357" spans="1:35" ht="16.5" x14ac:dyDescent="0.3">
      <c r="A357" s="19"/>
      <c r="B357" s="28"/>
      <c r="C357" s="28" t="s">
        <v>239</v>
      </c>
      <c r="D357" s="1">
        <f t="shared" ref="D357" si="99">MAX(D354:D356)+NoOne</f>
        <v>8</v>
      </c>
      <c r="E357" s="6" t="s">
        <v>240</v>
      </c>
      <c r="F357" s="86" t="s">
        <v>225</v>
      </c>
      <c r="G357" s="22">
        <v>0</v>
      </c>
      <c r="H357" s="22">
        <v>0</v>
      </c>
      <c r="I357" s="22">
        <v>0</v>
      </c>
      <c r="J357" s="22">
        <v>0</v>
      </c>
      <c r="K357" s="22">
        <v>0</v>
      </c>
      <c r="L357" s="22">
        <v>0</v>
      </c>
      <c r="M357" s="22">
        <v>0</v>
      </c>
      <c r="N357" s="22">
        <v>0</v>
      </c>
      <c r="O357" s="22">
        <v>0</v>
      </c>
      <c r="P357" s="22">
        <v>0</v>
      </c>
      <c r="Q357" s="22">
        <v>0</v>
      </c>
      <c r="R357" s="22">
        <v>0</v>
      </c>
      <c r="S357" s="22">
        <v>0</v>
      </c>
      <c r="T357" s="22">
        <v>0</v>
      </c>
      <c r="U357" s="22">
        <v>0</v>
      </c>
      <c r="V357" s="22">
        <v>0</v>
      </c>
      <c r="X357" s="6"/>
      <c r="Y357" s="6"/>
      <c r="Z357" s="6"/>
      <c r="AA357" s="6"/>
      <c r="AB357" s="6"/>
      <c r="AC357" s="6" t="str">
        <f t="shared" si="94"/>
        <v>2.2 GS 10-100 kW</v>
      </c>
      <c r="AD357" s="6"/>
      <c r="AE357" s="22">
        <v>0</v>
      </c>
      <c r="AF357" s="22">
        <v>0</v>
      </c>
      <c r="AG357" s="6"/>
      <c r="AH357" s="6"/>
      <c r="AI357" s="6"/>
    </row>
    <row r="358" spans="1:35" ht="16.5" x14ac:dyDescent="0.3">
      <c r="A358" s="19"/>
      <c r="B358" s="28"/>
      <c r="C358" s="28" t="s">
        <v>241</v>
      </c>
      <c r="D358" s="1">
        <f t="shared" ref="D358" si="100">MAX(D355:D357)+NoOne</f>
        <v>9</v>
      </c>
      <c r="E358" s="6" t="s">
        <v>242</v>
      </c>
      <c r="F358" s="86" t="s">
        <v>225</v>
      </c>
      <c r="G358" s="22">
        <v>10056.001782820453</v>
      </c>
      <c r="H358" s="22">
        <v>61765.191512199752</v>
      </c>
      <c r="I358" s="22">
        <v>9635.7225197612879</v>
      </c>
      <c r="J358" s="22">
        <v>9635.7225197612879</v>
      </c>
      <c r="K358" s="22">
        <v>8924.6813238669383</v>
      </c>
      <c r="L358" s="22">
        <v>8924.6813238669383</v>
      </c>
      <c r="M358" s="22">
        <v>83.5</v>
      </c>
      <c r="N358" s="22">
        <v>7321.4492405157407</v>
      </c>
      <c r="O358" s="22">
        <v>83.5</v>
      </c>
      <c r="P358" s="22">
        <v>7321.4492405157407</v>
      </c>
      <c r="Q358" s="22">
        <v>83.5</v>
      </c>
      <c r="R358" s="22">
        <v>703.02253484814344</v>
      </c>
      <c r="S358" s="22">
        <v>703.02253484814344</v>
      </c>
      <c r="T358" s="22">
        <v>0</v>
      </c>
      <c r="U358" s="22">
        <v>83.5</v>
      </c>
      <c r="V358" s="22">
        <v>0</v>
      </c>
      <c r="X358" s="6"/>
      <c r="Y358" s="6"/>
      <c r="Z358" s="6"/>
      <c r="AA358" s="6"/>
      <c r="AB358" s="6"/>
      <c r="AC358" s="6" t="str">
        <f t="shared" si="94"/>
        <v>2.3 GS 110-1,000 kVa</v>
      </c>
      <c r="AD358" s="6"/>
      <c r="AE358" s="22">
        <v>6141548.4442488831</v>
      </c>
      <c r="AF358" s="22">
        <v>6141548.4442488831</v>
      </c>
      <c r="AG358" s="6"/>
      <c r="AH358" s="6"/>
      <c r="AI358" s="6"/>
    </row>
    <row r="359" spans="1:35" ht="16.5" x14ac:dyDescent="0.3">
      <c r="A359" s="19"/>
      <c r="B359" s="28"/>
      <c r="C359" s="28" t="s">
        <v>243</v>
      </c>
      <c r="D359" s="1">
        <f t="shared" ref="D359" si="101">MAX(D356:D358)+NoOne</f>
        <v>10</v>
      </c>
      <c r="E359" s="6" t="s">
        <v>244</v>
      </c>
      <c r="F359" s="86" t="s">
        <v>225</v>
      </c>
      <c r="G359" s="22">
        <v>5870.2839954461024</v>
      </c>
      <c r="H359" s="22">
        <v>44444.834845810292</v>
      </c>
      <c r="I359" s="22">
        <v>5624.9420906973419</v>
      </c>
      <c r="J359" s="22">
        <v>5624.9420906973419</v>
      </c>
      <c r="K359" s="22">
        <v>5209.8652199382013</v>
      </c>
      <c r="L359" s="22">
        <v>5209.8652199382013</v>
      </c>
      <c r="M359" s="22">
        <v>8</v>
      </c>
      <c r="N359" s="22">
        <v>1902.3445380822127</v>
      </c>
      <c r="O359" s="22">
        <v>8</v>
      </c>
      <c r="P359" s="22">
        <v>1902.3445380822127</v>
      </c>
      <c r="Q359" s="22">
        <v>8</v>
      </c>
      <c r="R359" s="22">
        <v>67.355452440540688</v>
      </c>
      <c r="S359" s="22">
        <v>67.355452440540688</v>
      </c>
      <c r="T359" s="22">
        <v>0</v>
      </c>
      <c r="U359" s="22">
        <v>8</v>
      </c>
      <c r="V359" s="22">
        <v>0</v>
      </c>
      <c r="X359" s="6"/>
      <c r="Y359" s="6"/>
      <c r="Z359" s="6"/>
      <c r="AA359" s="6"/>
      <c r="AB359" s="6"/>
      <c r="AC359" s="6" t="str">
        <f t="shared" si="94"/>
        <v>2.4 GS Over 1,000 kVa</v>
      </c>
      <c r="AD359" s="6"/>
      <c r="AE359" s="22">
        <v>3400343.7999555697</v>
      </c>
      <c r="AF359" s="22">
        <v>3400343.7999555697</v>
      </c>
      <c r="AG359" s="6"/>
      <c r="AH359" s="6"/>
      <c r="AI359" s="6"/>
    </row>
    <row r="360" spans="1:35" ht="16.5" x14ac:dyDescent="0.3">
      <c r="A360" s="19"/>
      <c r="B360" s="28"/>
      <c r="C360" s="28" t="s">
        <v>245</v>
      </c>
      <c r="D360" s="1">
        <f t="shared" ref="D360" si="102">MAX(D357:D359)+NoOne</f>
        <v>11</v>
      </c>
      <c r="E360" s="6" t="s">
        <v>246</v>
      </c>
      <c r="F360" s="87" t="s">
        <v>225</v>
      </c>
      <c r="G360" s="22">
        <v>629.16376368647036</v>
      </c>
      <c r="H360" s="22">
        <v>2365.2910994621029</v>
      </c>
      <c r="I360" s="22">
        <v>602.86857314688427</v>
      </c>
      <c r="J360" s="22">
        <v>602.86857314688427</v>
      </c>
      <c r="K360" s="22">
        <v>558.38157278563892</v>
      </c>
      <c r="L360" s="22">
        <v>558.38157278563892</v>
      </c>
      <c r="M360" s="34">
        <v>1056.5</v>
      </c>
      <c r="N360" s="22">
        <v>494</v>
      </c>
      <c r="O360" s="34">
        <v>1056.5</v>
      </c>
      <c r="P360" s="22">
        <v>494</v>
      </c>
      <c r="Q360" s="34">
        <v>1056.5</v>
      </c>
      <c r="R360" s="34">
        <v>0</v>
      </c>
      <c r="S360" s="34">
        <v>0</v>
      </c>
      <c r="T360" s="34">
        <v>1</v>
      </c>
      <c r="U360" s="34">
        <v>1056.5</v>
      </c>
      <c r="V360" s="34">
        <v>0</v>
      </c>
      <c r="X360" s="6"/>
      <c r="Y360" s="6"/>
      <c r="Z360" s="6"/>
      <c r="AA360" s="6"/>
      <c r="AB360" s="6"/>
      <c r="AC360" s="6" t="str">
        <f t="shared" si="94"/>
        <v>4.1 Street and Area Lighting</v>
      </c>
      <c r="AD360" s="6"/>
      <c r="AE360" s="22">
        <v>993685.07999999973</v>
      </c>
      <c r="AF360" s="22">
        <v>993685.07999999973</v>
      </c>
      <c r="AG360" s="6"/>
      <c r="AH360" s="6"/>
      <c r="AI360" s="6"/>
    </row>
    <row r="361" spans="1:35" ht="16.5" x14ac:dyDescent="0.3">
      <c r="A361" s="28"/>
      <c r="B361" s="28"/>
      <c r="C361" s="29"/>
      <c r="D361" s="1">
        <f t="shared" ref="D361" si="103">MAX(D358:D360)+NoOne</f>
        <v>12</v>
      </c>
      <c r="E361" s="20" t="s">
        <v>247</v>
      </c>
      <c r="F361" s="88" t="s">
        <v>225</v>
      </c>
      <c r="G361" s="30">
        <f t="shared" ref="G361:V361" si="104">SUM(G353:G360)</f>
        <v>103269.32822298685</v>
      </c>
      <c r="H361" s="30">
        <f t="shared" si="104"/>
        <v>482935.98636824259</v>
      </c>
      <c r="I361" s="30">
        <f t="shared" si="104"/>
        <v>98953.303017390775</v>
      </c>
      <c r="J361" s="30">
        <f t="shared" si="104"/>
        <v>98953.303017390775</v>
      </c>
      <c r="K361" s="30">
        <f t="shared" si="104"/>
        <v>91651.320755979163</v>
      </c>
      <c r="L361" s="30">
        <f t="shared" si="104"/>
        <v>91651.320755979163</v>
      </c>
      <c r="M361" s="30">
        <f t="shared" si="104"/>
        <v>24398</v>
      </c>
      <c r="N361" s="30">
        <f t="shared" si="104"/>
        <v>77802.859290694716</v>
      </c>
      <c r="O361" s="30">
        <f t="shared" si="104"/>
        <v>24398</v>
      </c>
      <c r="P361" s="30">
        <f t="shared" si="104"/>
        <v>77802.859290694716</v>
      </c>
      <c r="Q361" s="30">
        <f t="shared" si="104"/>
        <v>24398</v>
      </c>
      <c r="R361" s="30">
        <f t="shared" si="104"/>
        <v>35487.213733919023</v>
      </c>
      <c r="S361" s="30">
        <f t="shared" si="104"/>
        <v>35487.213733919023</v>
      </c>
      <c r="T361" s="30">
        <f t="shared" si="104"/>
        <v>1</v>
      </c>
      <c r="U361" s="30">
        <f t="shared" si="104"/>
        <v>24398</v>
      </c>
      <c r="V361" s="30">
        <f t="shared" si="104"/>
        <v>0</v>
      </c>
      <c r="X361" s="6"/>
      <c r="Y361" s="6"/>
      <c r="Z361" s="6"/>
      <c r="AA361" s="6"/>
      <c r="AB361" s="6"/>
      <c r="AC361" s="20" t="str">
        <f t="shared" si="94"/>
        <v xml:space="preserve">    Subtotal Rural</v>
      </c>
      <c r="AD361" s="6"/>
      <c r="AE361" s="30">
        <f>SUM(AE353:AE360)</f>
        <v>51075240.787726022</v>
      </c>
      <c r="AF361" s="30">
        <f>SUM(AF353:AF360)</f>
        <v>51075240.787726022</v>
      </c>
      <c r="AG361" s="6"/>
      <c r="AH361" s="6"/>
      <c r="AI361" s="6"/>
    </row>
    <row r="362" spans="1:35" ht="16.5" x14ac:dyDescent="0.3">
      <c r="A362" s="28"/>
      <c r="B362" s="28"/>
      <c r="C362" s="26"/>
      <c r="D362" s="1"/>
      <c r="E362" s="6"/>
      <c r="F362" s="86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X362" s="6"/>
      <c r="Y362" s="6"/>
      <c r="Z362" s="6"/>
      <c r="AA362" s="6"/>
      <c r="AB362" s="6"/>
      <c r="AC362" s="6" t="str">
        <f t="shared" si="94"/>
        <v/>
      </c>
      <c r="AD362" s="6"/>
      <c r="AE362" s="6"/>
      <c r="AF362" s="6"/>
      <c r="AG362" s="6"/>
      <c r="AH362" s="6"/>
      <c r="AI362" s="6"/>
    </row>
    <row r="363" spans="1:35" ht="17.25" thickBot="1" x14ac:dyDescent="0.35">
      <c r="A363" s="28"/>
      <c r="B363" s="28"/>
      <c r="C363" s="29"/>
      <c r="D363" s="1">
        <v>13</v>
      </c>
      <c r="E363" s="20" t="s">
        <v>248</v>
      </c>
      <c r="F363" s="89" t="s">
        <v>225</v>
      </c>
      <c r="G363" s="62">
        <f t="shared" ref="G363:V363" si="105">SUM(G361,G349:G351)</f>
        <v>1644377.6716193014</v>
      </c>
      <c r="H363" s="62">
        <f t="shared" si="105"/>
        <v>7416874.4779541465</v>
      </c>
      <c r="I363" s="62">
        <f t="shared" si="105"/>
        <v>1613309.1139459128</v>
      </c>
      <c r="J363" s="62">
        <f t="shared" si="105"/>
        <v>98953.303017390775</v>
      </c>
      <c r="K363" s="62">
        <f t="shared" si="105"/>
        <v>91651.320755979163</v>
      </c>
      <c r="L363" s="62">
        <f t="shared" si="105"/>
        <v>91651.320755979163</v>
      </c>
      <c r="M363" s="62">
        <f t="shared" si="105"/>
        <v>24398</v>
      </c>
      <c r="N363" s="62">
        <f t="shared" si="105"/>
        <v>77802.859290694716</v>
      </c>
      <c r="O363" s="62">
        <f t="shared" si="105"/>
        <v>24398</v>
      </c>
      <c r="P363" s="62">
        <f t="shared" si="105"/>
        <v>77802.859290694716</v>
      </c>
      <c r="Q363" s="62">
        <f t="shared" si="105"/>
        <v>24398</v>
      </c>
      <c r="R363" s="62">
        <f t="shared" si="105"/>
        <v>35487.213733919023</v>
      </c>
      <c r="S363" s="62">
        <f t="shared" si="105"/>
        <v>35487.213733919023</v>
      </c>
      <c r="T363" s="62">
        <f t="shared" si="105"/>
        <v>1</v>
      </c>
      <c r="U363" s="62">
        <f t="shared" si="105"/>
        <v>24398</v>
      </c>
      <c r="V363" s="62">
        <f t="shared" si="105"/>
        <v>0</v>
      </c>
      <c r="X363" s="6"/>
      <c r="Y363" s="6"/>
      <c r="Z363" s="6"/>
      <c r="AA363" s="6"/>
      <c r="AB363" s="6"/>
      <c r="AC363" s="20" t="str">
        <f t="shared" si="94"/>
        <v xml:space="preserve">      Total</v>
      </c>
      <c r="AD363" s="6"/>
      <c r="AE363" s="62">
        <f>SUM(AE361,AE349:AE351)</f>
        <v>51075240.787726022</v>
      </c>
      <c r="AF363" s="62">
        <f>SUM(AF361,AF349:AF351)</f>
        <v>579497361.78772604</v>
      </c>
      <c r="AG363" s="6"/>
      <c r="AH363" s="6"/>
      <c r="AI363" s="6"/>
    </row>
    <row r="364" spans="1:35" ht="17.25" thickTop="1" x14ac:dyDescent="0.3">
      <c r="A364" s="28"/>
      <c r="B364" s="28"/>
      <c r="C364" s="26"/>
      <c r="D364" s="1"/>
      <c r="E364" s="6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X364" s="6"/>
      <c r="Y364" s="6"/>
      <c r="Z364" s="6"/>
      <c r="AA364" s="6"/>
      <c r="AB364" s="6"/>
      <c r="AC364" s="6" t="str">
        <f t="shared" si="94"/>
        <v/>
      </c>
      <c r="AD364" s="6"/>
      <c r="AE364" s="6"/>
      <c r="AF364" s="6"/>
      <c r="AG364" s="6"/>
      <c r="AH364" s="6"/>
      <c r="AI364" s="6"/>
    </row>
    <row r="365" spans="1:35" ht="16.5" x14ac:dyDescent="0.3">
      <c r="A365" s="28"/>
      <c r="B365" s="28"/>
      <c r="C365" s="90"/>
      <c r="D365" s="1"/>
      <c r="E365" s="20" t="s">
        <v>249</v>
      </c>
      <c r="F365" s="91"/>
      <c r="G365" s="91"/>
      <c r="H365" s="91"/>
      <c r="I365" s="91"/>
      <c r="J365" s="91"/>
      <c r="K365" s="91"/>
      <c r="L365" s="91"/>
      <c r="M365" s="91"/>
      <c r="N365" s="91"/>
      <c r="O365" s="91"/>
      <c r="P365" s="91"/>
      <c r="Q365" s="91"/>
      <c r="R365" s="91"/>
      <c r="S365" s="91"/>
      <c r="T365" s="91"/>
      <c r="U365" s="91"/>
      <c r="V365" s="91"/>
      <c r="X365" s="6"/>
      <c r="Y365" s="6"/>
      <c r="Z365" s="6"/>
      <c r="AA365" s="6"/>
      <c r="AB365" s="6"/>
      <c r="AC365" s="20" t="str">
        <f t="shared" si="94"/>
        <v>Ratios Excluding Return on Equity</v>
      </c>
      <c r="AD365" s="6"/>
      <c r="AE365" s="6"/>
      <c r="AF365" s="6"/>
      <c r="AG365" s="6"/>
      <c r="AH365" s="6"/>
      <c r="AI365" s="6"/>
    </row>
    <row r="366" spans="1:35" ht="16.5" x14ac:dyDescent="0.3">
      <c r="A366" s="28"/>
      <c r="B366" s="28"/>
      <c r="C366" s="90"/>
      <c r="D366" s="1">
        <v>14</v>
      </c>
      <c r="E366" s="6" t="str">
        <f>+E349</f>
        <v>Newfoundland Power</v>
      </c>
      <c r="F366" s="92" t="s">
        <v>225</v>
      </c>
      <c r="G366" s="93">
        <f>IF(G$363&lt;&gt;0,G349/G$363,0)</f>
        <v>0.88738604118773867</v>
      </c>
      <c r="H366" s="93">
        <v>0.8483695330439589</v>
      </c>
      <c r="I366" s="93">
        <f>IF(I$363&lt;&gt;0,I349/I$363,0)</f>
        <v>0.89001457100935721</v>
      </c>
      <c r="J366" s="93">
        <f t="shared" ref="J366:V368" si="106">IF(J$363&lt;&gt;0,J349/J$363,0)</f>
        <v>0</v>
      </c>
      <c r="K366" s="93">
        <f t="shared" si="106"/>
        <v>0</v>
      </c>
      <c r="L366" s="93">
        <f t="shared" si="106"/>
        <v>0</v>
      </c>
      <c r="M366" s="93">
        <f t="shared" si="106"/>
        <v>0</v>
      </c>
      <c r="N366" s="93">
        <f t="shared" si="106"/>
        <v>0</v>
      </c>
      <c r="O366" s="93">
        <f t="shared" si="106"/>
        <v>0</v>
      </c>
      <c r="P366" s="93">
        <f t="shared" si="106"/>
        <v>0</v>
      </c>
      <c r="Q366" s="93">
        <f t="shared" si="106"/>
        <v>0</v>
      </c>
      <c r="R366" s="93">
        <f t="shared" si="106"/>
        <v>0</v>
      </c>
      <c r="S366" s="93">
        <f t="shared" si="106"/>
        <v>0</v>
      </c>
      <c r="T366" s="93">
        <f t="shared" si="106"/>
        <v>0</v>
      </c>
      <c r="U366" s="93">
        <f t="shared" si="106"/>
        <v>0</v>
      </c>
      <c r="V366" s="94">
        <f t="shared" si="106"/>
        <v>0</v>
      </c>
      <c r="X366" s="6"/>
      <c r="Y366" s="6"/>
      <c r="Z366" s="1"/>
      <c r="AA366" s="6"/>
      <c r="AB366" s="6"/>
      <c r="AC366" s="6" t="str">
        <f t="shared" si="94"/>
        <v>Newfoundland Power</v>
      </c>
      <c r="AD366" s="6"/>
      <c r="AE366" s="94">
        <f t="shared" ref="AE366:AF368" si="107">IF(AE$363&lt;&gt;0,AE349/AE$363,0)</f>
        <v>0</v>
      </c>
      <c r="AF366" s="94">
        <f t="shared" si="107"/>
        <v>0.83608276231890521</v>
      </c>
      <c r="AG366" s="6"/>
      <c r="AH366" s="6"/>
      <c r="AI366" s="6"/>
    </row>
    <row r="367" spans="1:35" ht="16.5" x14ac:dyDescent="0.3">
      <c r="A367" s="28"/>
      <c r="B367" s="28"/>
      <c r="C367" s="90"/>
      <c r="D367" s="1">
        <v>15</v>
      </c>
      <c r="E367" s="17" t="s">
        <v>227</v>
      </c>
      <c r="F367" s="92" t="s">
        <v>225</v>
      </c>
      <c r="G367" s="93">
        <f>IF(G$363&lt;&gt;0,G350/G$363,0)</f>
        <v>4.9812492941411594E-2</v>
      </c>
      <c r="H367" s="93">
        <v>8.6517326939485953E-2</v>
      </c>
      <c r="I367" s="93">
        <f>IF(I$363&lt;&gt;0,I350/I$363,0)</f>
        <v>4.8649816266453899E-2</v>
      </c>
      <c r="J367" s="93">
        <f t="shared" si="106"/>
        <v>0</v>
      </c>
      <c r="K367" s="93">
        <f t="shared" si="106"/>
        <v>0</v>
      </c>
      <c r="L367" s="93">
        <f t="shared" si="106"/>
        <v>0</v>
      </c>
      <c r="M367" s="93">
        <f t="shared" si="106"/>
        <v>0</v>
      </c>
      <c r="N367" s="93">
        <f t="shared" si="106"/>
        <v>0</v>
      </c>
      <c r="O367" s="93">
        <f t="shared" si="106"/>
        <v>0</v>
      </c>
      <c r="P367" s="93">
        <f t="shared" si="106"/>
        <v>0</v>
      </c>
      <c r="Q367" s="93">
        <f t="shared" si="106"/>
        <v>0</v>
      </c>
      <c r="R367" s="93">
        <f t="shared" si="106"/>
        <v>0</v>
      </c>
      <c r="S367" s="93">
        <f t="shared" si="106"/>
        <v>0</v>
      </c>
      <c r="T367" s="93">
        <f t="shared" si="106"/>
        <v>0</v>
      </c>
      <c r="U367" s="93">
        <f t="shared" si="106"/>
        <v>0</v>
      </c>
      <c r="V367" s="94">
        <f t="shared" si="106"/>
        <v>0</v>
      </c>
      <c r="X367" s="6"/>
      <c r="Y367" s="6"/>
      <c r="Z367" s="6"/>
      <c r="AA367" s="6"/>
      <c r="AB367" s="6"/>
      <c r="AC367" s="17" t="str">
        <f t="shared" si="94"/>
        <v>Industrial - Firm</v>
      </c>
      <c r="AD367" s="6"/>
      <c r="AE367" s="94">
        <f t="shared" si="107"/>
        <v>0</v>
      </c>
      <c r="AF367" s="94">
        <f t="shared" si="107"/>
        <v>7.5780096503849384E-2</v>
      </c>
      <c r="AG367" s="6"/>
      <c r="AH367" s="6"/>
      <c r="AI367" s="6"/>
    </row>
    <row r="368" spans="1:35" ht="16.5" x14ac:dyDescent="0.3">
      <c r="A368" s="28"/>
      <c r="B368" s="28"/>
      <c r="C368" s="90"/>
      <c r="D368" s="1">
        <v>16</v>
      </c>
      <c r="E368" s="17" t="s">
        <v>229</v>
      </c>
      <c r="F368" s="92" t="s">
        <v>225</v>
      </c>
      <c r="G368" s="93">
        <f>IF(G$363&lt;&gt;0,G351/G$363,0)</f>
        <v>0</v>
      </c>
      <c r="H368" s="93">
        <f>IF(H$363&lt;&gt;0,H351/H$363,0)</f>
        <v>0</v>
      </c>
      <c r="I368" s="93">
        <f>IF(I$363&lt;&gt;0,I351/I$363,0)</f>
        <v>0</v>
      </c>
      <c r="J368" s="93">
        <f t="shared" si="106"/>
        <v>0</v>
      </c>
      <c r="K368" s="93">
        <f t="shared" si="106"/>
        <v>0</v>
      </c>
      <c r="L368" s="93">
        <f t="shared" si="106"/>
        <v>0</v>
      </c>
      <c r="M368" s="93">
        <f t="shared" si="106"/>
        <v>0</v>
      </c>
      <c r="N368" s="93">
        <f t="shared" si="106"/>
        <v>0</v>
      </c>
      <c r="O368" s="93">
        <f t="shared" si="106"/>
        <v>0</v>
      </c>
      <c r="P368" s="93">
        <f t="shared" si="106"/>
        <v>0</v>
      </c>
      <c r="Q368" s="93">
        <f t="shared" si="106"/>
        <v>0</v>
      </c>
      <c r="R368" s="93">
        <f t="shared" si="106"/>
        <v>0</v>
      </c>
      <c r="S368" s="93">
        <f t="shared" si="106"/>
        <v>0</v>
      </c>
      <c r="T368" s="93">
        <f t="shared" si="106"/>
        <v>0</v>
      </c>
      <c r="U368" s="93">
        <f t="shared" si="106"/>
        <v>0</v>
      </c>
      <c r="V368" s="94">
        <f t="shared" si="106"/>
        <v>0</v>
      </c>
      <c r="X368" s="6"/>
      <c r="Y368" s="6"/>
      <c r="Z368" s="6"/>
      <c r="AA368" s="6"/>
      <c r="AB368" s="6"/>
      <c r="AC368" s="17" t="str">
        <f t="shared" si="94"/>
        <v>Industrial - Non-Firm</v>
      </c>
      <c r="AD368" s="6"/>
      <c r="AE368" s="94">
        <f t="shared" si="107"/>
        <v>0</v>
      </c>
      <c r="AF368" s="94">
        <f t="shared" si="107"/>
        <v>0</v>
      </c>
      <c r="AG368" s="6"/>
      <c r="AH368" s="6"/>
      <c r="AI368" s="6"/>
    </row>
    <row r="369" spans="1:35" ht="16.5" x14ac:dyDescent="0.3">
      <c r="A369" s="28"/>
      <c r="B369" s="28"/>
      <c r="C369" s="90"/>
      <c r="D369" s="1"/>
      <c r="E369" s="20" t="s">
        <v>230</v>
      </c>
      <c r="F369" s="92" t="s">
        <v>39</v>
      </c>
      <c r="G369" s="93"/>
      <c r="H369" s="93"/>
      <c r="I369" s="93"/>
      <c r="J369" s="93"/>
      <c r="K369" s="93"/>
      <c r="L369" s="93"/>
      <c r="M369" s="93"/>
      <c r="N369" s="93"/>
      <c r="O369" s="93"/>
      <c r="P369" s="93"/>
      <c r="Q369" s="93"/>
      <c r="R369" s="93"/>
      <c r="S369" s="93"/>
      <c r="T369" s="93"/>
      <c r="U369" s="93"/>
      <c r="V369" s="93"/>
      <c r="X369" s="6"/>
      <c r="Y369" s="6"/>
      <c r="Z369" s="6"/>
      <c r="AA369" s="6"/>
      <c r="AB369" s="6"/>
      <c r="AC369" s="20" t="str">
        <f t="shared" si="94"/>
        <v>Rural</v>
      </c>
      <c r="AD369" s="6"/>
      <c r="AE369" s="93"/>
      <c r="AF369" s="93"/>
      <c r="AG369" s="6"/>
      <c r="AH369" s="6"/>
      <c r="AI369" s="6"/>
    </row>
    <row r="370" spans="1:35" ht="16.5" x14ac:dyDescent="0.3">
      <c r="A370" s="28"/>
      <c r="B370" s="28"/>
      <c r="C370" s="90"/>
      <c r="D370" s="1">
        <f t="shared" ref="D370:D378" si="108">MAX(D367:D369)+NoOne</f>
        <v>17</v>
      </c>
      <c r="E370" s="6" t="s">
        <v>232</v>
      </c>
      <c r="F370" s="92" t="s">
        <v>225</v>
      </c>
      <c r="G370" s="93">
        <f t="shared" ref="G370:G378" si="109">IF(G$363&lt;&gt;0,G353/G$363,0)</f>
        <v>2.008838661271916E-2</v>
      </c>
      <c r="H370" s="93">
        <v>1.6709234028665809E-2</v>
      </c>
      <c r="I370" s="93">
        <f t="shared" ref="I370:V378" si="110">IF(I$363&lt;&gt;0,I353/I$363,0)</f>
        <v>1.9619502259157252E-2</v>
      </c>
      <c r="J370" s="93">
        <f t="shared" si="110"/>
        <v>0.31987130131692532</v>
      </c>
      <c r="K370" s="93">
        <f t="shared" si="110"/>
        <v>0.31987130131692526</v>
      </c>
      <c r="L370" s="93">
        <f t="shared" si="110"/>
        <v>0.31987130131692526</v>
      </c>
      <c r="M370" s="93">
        <f t="shared" si="110"/>
        <v>0.47110003545372575</v>
      </c>
      <c r="N370" s="93">
        <f t="shared" si="110"/>
        <v>0.33336063786469511</v>
      </c>
      <c r="O370" s="93">
        <f t="shared" si="110"/>
        <v>0.47110003545372575</v>
      </c>
      <c r="P370" s="93">
        <f t="shared" si="110"/>
        <v>0.33336063786469511</v>
      </c>
      <c r="Q370" s="93">
        <f t="shared" si="110"/>
        <v>0.47110003545372575</v>
      </c>
      <c r="R370" s="93">
        <f t="shared" si="110"/>
        <v>0.32388845039175396</v>
      </c>
      <c r="S370" s="93">
        <f t="shared" si="110"/>
        <v>0.32388845039175396</v>
      </c>
      <c r="T370" s="93">
        <f t="shared" si="110"/>
        <v>0</v>
      </c>
      <c r="U370" s="93">
        <f t="shared" si="110"/>
        <v>0.47110003545372575</v>
      </c>
      <c r="V370" s="94">
        <f t="shared" si="110"/>
        <v>0</v>
      </c>
      <c r="X370" s="6"/>
      <c r="Y370" s="6"/>
      <c r="Z370" s="6"/>
      <c r="AA370" s="6"/>
      <c r="AB370" s="6"/>
      <c r="AC370" s="6" t="str">
        <f t="shared" si="94"/>
        <v>1.1 Domestic</v>
      </c>
      <c r="AD370" s="6"/>
      <c r="AE370" s="94">
        <f t="shared" ref="AE370:AF378" si="111">IF(AE$363&lt;&gt;0,AE353/AE$363,0)</f>
        <v>0.26831107716600999</v>
      </c>
      <c r="AF370" s="94">
        <f t="shared" si="111"/>
        <v>2.3648171287599388E-2</v>
      </c>
      <c r="AG370" s="6"/>
      <c r="AH370" s="6"/>
      <c r="AI370" s="6"/>
    </row>
    <row r="371" spans="1:35" ht="16.5" x14ac:dyDescent="0.3">
      <c r="A371" s="28"/>
      <c r="B371" s="28"/>
      <c r="C371" s="90"/>
      <c r="D371" s="1">
        <f t="shared" si="108"/>
        <v>18</v>
      </c>
      <c r="E371" s="6" t="s">
        <v>234</v>
      </c>
      <c r="F371" s="92" t="s">
        <v>225</v>
      </c>
      <c r="G371" s="93">
        <f t="shared" si="109"/>
        <v>2.331665744632155E-2</v>
      </c>
      <c r="H371" s="93">
        <v>2.2527441510268264E-2</v>
      </c>
      <c r="I371" s="93">
        <f t="shared" si="110"/>
        <v>2.2772421810841458E-2</v>
      </c>
      <c r="J371" s="93">
        <f t="shared" si="110"/>
        <v>0.37127568796358867</v>
      </c>
      <c r="K371" s="93">
        <f t="shared" si="110"/>
        <v>0.37127568796358862</v>
      </c>
      <c r="L371" s="93">
        <f t="shared" si="110"/>
        <v>0.37127568796358862</v>
      </c>
      <c r="M371" s="93">
        <f t="shared" si="110"/>
        <v>0.35714408291663247</v>
      </c>
      <c r="N371" s="93">
        <f t="shared" si="110"/>
        <v>0.38693280595550095</v>
      </c>
      <c r="O371" s="93">
        <f t="shared" si="110"/>
        <v>0.35714408291663247</v>
      </c>
      <c r="P371" s="93">
        <f t="shared" si="110"/>
        <v>0.38693280595550095</v>
      </c>
      <c r="Q371" s="93">
        <f t="shared" si="110"/>
        <v>0.35714408291663247</v>
      </c>
      <c r="R371" s="93">
        <f t="shared" si="110"/>
        <v>0.24554199719183517</v>
      </c>
      <c r="S371" s="93">
        <f t="shared" si="110"/>
        <v>0.24554199719183517</v>
      </c>
      <c r="T371" s="93">
        <f t="shared" si="110"/>
        <v>0</v>
      </c>
      <c r="U371" s="93">
        <f t="shared" si="110"/>
        <v>0.35714408291663247</v>
      </c>
      <c r="V371" s="94">
        <f t="shared" si="110"/>
        <v>0</v>
      </c>
      <c r="X371" s="6"/>
      <c r="Y371" s="6"/>
      <c r="Z371" s="6"/>
      <c r="AA371" s="6"/>
      <c r="AB371" s="6"/>
      <c r="AC371" s="6" t="str">
        <f t="shared" si="94"/>
        <v xml:space="preserve">1.12 Domestic All Electric </v>
      </c>
      <c r="AD371" s="6"/>
      <c r="AE371" s="94">
        <f t="shared" si="111"/>
        <v>0.33971279165656559</v>
      </c>
      <c r="AF371" s="94">
        <f t="shared" si="111"/>
        <v>2.994131427795085E-2</v>
      </c>
      <c r="AG371" s="6"/>
      <c r="AH371" s="6"/>
      <c r="AI371" s="6"/>
    </row>
    <row r="372" spans="1:35" ht="16.5" x14ac:dyDescent="0.3">
      <c r="A372" s="28"/>
      <c r="B372" s="28"/>
      <c r="C372" s="90"/>
      <c r="D372" s="1">
        <f t="shared" si="108"/>
        <v>19</v>
      </c>
      <c r="E372" s="6" t="s">
        <v>236</v>
      </c>
      <c r="F372" s="92" t="s">
        <v>225</v>
      </c>
      <c r="G372" s="93">
        <f t="shared" si="109"/>
        <v>8.080296484582867E-5</v>
      </c>
      <c r="H372" s="93">
        <v>5.2976571681569863E-5</v>
      </c>
      <c r="I372" s="93">
        <f t="shared" si="110"/>
        <v>7.8916937527256784E-5</v>
      </c>
      <c r="J372" s="93">
        <f t="shared" si="110"/>
        <v>1.2866413820976539E-3</v>
      </c>
      <c r="K372" s="93">
        <f t="shared" si="110"/>
        <v>1.2866413820976537E-3</v>
      </c>
      <c r="L372" s="93">
        <f t="shared" si="110"/>
        <v>1.2866413820976537E-3</v>
      </c>
      <c r="M372" s="93">
        <f t="shared" si="110"/>
        <v>4.0986966144765967E-5</v>
      </c>
      <c r="N372" s="93">
        <f t="shared" si="110"/>
        <v>1.3409005124039605E-3</v>
      </c>
      <c r="O372" s="93">
        <f t="shared" si="110"/>
        <v>4.0986966144765967E-5</v>
      </c>
      <c r="P372" s="93">
        <f t="shared" si="110"/>
        <v>1.3409005124039605E-3</v>
      </c>
      <c r="Q372" s="93">
        <f t="shared" si="110"/>
        <v>4.0986966144765967E-5</v>
      </c>
      <c r="R372" s="93">
        <f t="shared" si="110"/>
        <v>2.8179163557272752E-5</v>
      </c>
      <c r="S372" s="93">
        <f t="shared" si="110"/>
        <v>2.8179163557272752E-5</v>
      </c>
      <c r="T372" s="93">
        <f t="shared" si="110"/>
        <v>0</v>
      </c>
      <c r="U372" s="93">
        <f t="shared" si="110"/>
        <v>4.0986966144765967E-5</v>
      </c>
      <c r="V372" s="94">
        <f t="shared" si="110"/>
        <v>0</v>
      </c>
      <c r="X372" s="6"/>
      <c r="Y372" s="6"/>
      <c r="Z372" s="6"/>
      <c r="AA372" s="6"/>
      <c r="AB372" s="6"/>
      <c r="AC372" s="6" t="str">
        <f t="shared" si="94"/>
        <v>1.3 Special</v>
      </c>
      <c r="AD372" s="6"/>
      <c r="AE372" s="94">
        <f t="shared" si="111"/>
        <v>3.7637414339159819E-4</v>
      </c>
      <c r="AF372" s="94">
        <f t="shared" si="111"/>
        <v>3.3172541011570064E-5</v>
      </c>
      <c r="AG372" s="6"/>
      <c r="AH372" s="6"/>
      <c r="AI372" s="6"/>
    </row>
    <row r="373" spans="1:35" ht="16.5" x14ac:dyDescent="0.3">
      <c r="A373" s="28"/>
      <c r="B373" s="28"/>
      <c r="C373" s="90"/>
      <c r="D373" s="1">
        <f t="shared" si="108"/>
        <v>20</v>
      </c>
      <c r="E373" s="6" t="s">
        <v>238</v>
      </c>
      <c r="F373" s="92" t="s">
        <v>225</v>
      </c>
      <c r="G373" s="93">
        <f t="shared" si="109"/>
        <v>9.2477069385935567E-3</v>
      </c>
      <c r="H373" s="93">
        <v>1.1184529436276763E-2</v>
      </c>
      <c r="I373" s="93">
        <f t="shared" si="110"/>
        <v>9.0318556025242372E-3</v>
      </c>
      <c r="J373" s="93">
        <f t="shared" si="110"/>
        <v>0.14725304274921436</v>
      </c>
      <c r="K373" s="93">
        <f t="shared" si="110"/>
        <v>0.14725304274921433</v>
      </c>
      <c r="L373" s="93">
        <f t="shared" si="110"/>
        <v>0.14725304274921433</v>
      </c>
      <c r="M373" s="93">
        <f t="shared" si="110"/>
        <v>0.12466185752930568</v>
      </c>
      <c r="N373" s="93">
        <f t="shared" si="110"/>
        <v>0.15346287102436565</v>
      </c>
      <c r="O373" s="93">
        <f t="shared" si="110"/>
        <v>0.12466185752930568</v>
      </c>
      <c r="P373" s="93">
        <f t="shared" si="110"/>
        <v>0.15346287102436565</v>
      </c>
      <c r="Q373" s="93">
        <f t="shared" si="110"/>
        <v>0.12466185752930568</v>
      </c>
      <c r="R373" s="93">
        <f t="shared" si="110"/>
        <v>0.4088327659481234</v>
      </c>
      <c r="S373" s="93">
        <f t="shared" si="110"/>
        <v>0.4088327659481234</v>
      </c>
      <c r="T373" s="93">
        <f t="shared" si="110"/>
        <v>0</v>
      </c>
      <c r="U373" s="93">
        <f t="shared" si="110"/>
        <v>0.12466185752930568</v>
      </c>
      <c r="V373" s="94">
        <f t="shared" si="110"/>
        <v>0</v>
      </c>
      <c r="X373" s="6"/>
      <c r="Y373" s="6"/>
      <c r="Z373" s="6"/>
      <c r="AA373" s="6"/>
      <c r="AB373" s="6"/>
      <c r="AC373" s="6" t="str">
        <f t="shared" si="94"/>
        <v>2.1 GS 0-10 kW</v>
      </c>
      <c r="AD373" s="6"/>
      <c r="AE373" s="94">
        <f t="shared" si="111"/>
        <v>0.18532412990598071</v>
      </c>
      <c r="AF373" s="94">
        <f t="shared" si="111"/>
        <v>1.6333939001073574E-2</v>
      </c>
      <c r="AG373" s="6"/>
      <c r="AH373" s="6"/>
      <c r="AI373" s="6"/>
    </row>
    <row r="374" spans="1:35" ht="16.5" x14ac:dyDescent="0.3">
      <c r="A374" s="28"/>
      <c r="B374" s="28"/>
      <c r="C374" s="90"/>
      <c r="D374" s="1">
        <f t="shared" si="108"/>
        <v>21</v>
      </c>
      <c r="E374" s="6" t="s">
        <v>240</v>
      </c>
      <c r="F374" s="92" t="s">
        <v>225</v>
      </c>
      <c r="G374" s="93">
        <f t="shared" si="109"/>
        <v>0</v>
      </c>
      <c r="H374" s="93">
        <v>0</v>
      </c>
      <c r="I374" s="93">
        <f t="shared" si="110"/>
        <v>0</v>
      </c>
      <c r="J374" s="93">
        <f t="shared" si="110"/>
        <v>0</v>
      </c>
      <c r="K374" s="93">
        <f t="shared" si="110"/>
        <v>0</v>
      </c>
      <c r="L374" s="93">
        <f t="shared" si="110"/>
        <v>0</v>
      </c>
      <c r="M374" s="93">
        <f t="shared" si="110"/>
        <v>0</v>
      </c>
      <c r="N374" s="93">
        <f t="shared" si="110"/>
        <v>0</v>
      </c>
      <c r="O374" s="93">
        <f t="shared" si="110"/>
        <v>0</v>
      </c>
      <c r="P374" s="93">
        <f t="shared" si="110"/>
        <v>0</v>
      </c>
      <c r="Q374" s="93">
        <f t="shared" si="110"/>
        <v>0</v>
      </c>
      <c r="R374" s="93">
        <f t="shared" si="110"/>
        <v>0</v>
      </c>
      <c r="S374" s="93">
        <f t="shared" si="110"/>
        <v>0</v>
      </c>
      <c r="T374" s="93">
        <f t="shared" si="110"/>
        <v>0</v>
      </c>
      <c r="U374" s="93">
        <f t="shared" si="110"/>
        <v>0</v>
      </c>
      <c r="V374" s="94">
        <f t="shared" si="110"/>
        <v>0</v>
      </c>
      <c r="X374" s="6"/>
      <c r="Y374" s="6"/>
      <c r="Z374" s="6"/>
      <c r="AA374" s="6"/>
      <c r="AB374" s="6"/>
      <c r="AC374" s="6" t="str">
        <f t="shared" si="94"/>
        <v>2.2 GS 10-100 kW</v>
      </c>
      <c r="AD374" s="6"/>
      <c r="AE374" s="94">
        <f t="shared" si="111"/>
        <v>0</v>
      </c>
      <c r="AF374" s="94">
        <f t="shared" si="111"/>
        <v>0</v>
      </c>
      <c r="AG374" s="6"/>
      <c r="AH374" s="6"/>
      <c r="AI374" s="6"/>
    </row>
    <row r="375" spans="1:35" ht="16.5" x14ac:dyDescent="0.3">
      <c r="A375" s="28"/>
      <c r="B375" s="28"/>
      <c r="C375" s="90"/>
      <c r="D375" s="1">
        <f t="shared" si="108"/>
        <v>22</v>
      </c>
      <c r="E375" s="6" t="s">
        <v>242</v>
      </c>
      <c r="F375" s="92" t="s">
        <v>225</v>
      </c>
      <c r="G375" s="93">
        <f t="shared" si="109"/>
        <v>6.1153845350610985E-3</v>
      </c>
      <c r="H375" s="93">
        <v>8.3276576536100311E-3</v>
      </c>
      <c r="I375" s="93">
        <f t="shared" si="110"/>
        <v>5.9726449422911592E-3</v>
      </c>
      <c r="J375" s="93">
        <f t="shared" si="110"/>
        <v>9.7376461683829144E-2</v>
      </c>
      <c r="K375" s="93">
        <f t="shared" si="110"/>
        <v>9.737646168382913E-2</v>
      </c>
      <c r="L375" s="93">
        <f t="shared" si="110"/>
        <v>9.737646168382913E-2</v>
      </c>
      <c r="M375" s="93">
        <f t="shared" si="110"/>
        <v>3.422411673087958E-3</v>
      </c>
      <c r="N375" s="93">
        <f t="shared" si="110"/>
        <v>9.4102572929365233E-2</v>
      </c>
      <c r="O375" s="93">
        <f t="shared" si="110"/>
        <v>3.422411673087958E-3</v>
      </c>
      <c r="P375" s="93">
        <f t="shared" si="110"/>
        <v>9.4102572929365233E-2</v>
      </c>
      <c r="Q375" s="93">
        <f t="shared" si="110"/>
        <v>3.422411673087958E-3</v>
      </c>
      <c r="R375" s="93">
        <f t="shared" si="110"/>
        <v>1.9810586993934315E-2</v>
      </c>
      <c r="S375" s="93">
        <f t="shared" si="110"/>
        <v>1.9810586993934315E-2</v>
      </c>
      <c r="T375" s="93">
        <f t="shared" si="110"/>
        <v>0</v>
      </c>
      <c r="U375" s="93">
        <f t="shared" si="110"/>
        <v>3.422411673087958E-3</v>
      </c>
      <c r="V375" s="94">
        <f t="shared" si="110"/>
        <v>0</v>
      </c>
      <c r="X375" s="6"/>
      <c r="Y375" s="6"/>
      <c r="Z375" s="6"/>
      <c r="AA375" s="6"/>
      <c r="AB375" s="6"/>
      <c r="AC375" s="6" t="str">
        <f t="shared" si="94"/>
        <v>2.3 GS 110-1,000 kVa</v>
      </c>
      <c r="AD375" s="6"/>
      <c r="AE375" s="94">
        <f t="shared" si="111"/>
        <v>0.12024511973959737</v>
      </c>
      <c r="AF375" s="94">
        <f t="shared" si="111"/>
        <v>1.0598061094363662E-2</v>
      </c>
      <c r="AG375" s="6"/>
      <c r="AH375" s="6"/>
      <c r="AI375" s="6"/>
    </row>
    <row r="376" spans="1:35" ht="16.5" x14ac:dyDescent="0.3">
      <c r="A376" s="28"/>
      <c r="B376" s="28"/>
      <c r="C376" s="90"/>
      <c r="D376" s="1">
        <f t="shared" si="108"/>
        <v>23</v>
      </c>
      <c r="E376" s="6" t="s">
        <v>244</v>
      </c>
      <c r="F376" s="92" t="s">
        <v>225</v>
      </c>
      <c r="G376" s="93">
        <f t="shared" si="109"/>
        <v>3.5699122511590286E-3</v>
      </c>
      <c r="H376" s="93">
        <v>5.992394097799246E-3</v>
      </c>
      <c r="I376" s="93">
        <f t="shared" si="110"/>
        <v>3.4865866944367376E-3</v>
      </c>
      <c r="J376" s="93">
        <f t="shared" si="110"/>
        <v>5.6844409627324656E-2</v>
      </c>
      <c r="K376" s="93">
        <f t="shared" si="110"/>
        <v>5.6844409627324649E-2</v>
      </c>
      <c r="L376" s="93">
        <f t="shared" si="110"/>
        <v>5.6844409627324649E-2</v>
      </c>
      <c r="M376" s="93">
        <f t="shared" si="110"/>
        <v>3.2789572915812773E-4</v>
      </c>
      <c r="N376" s="93">
        <f t="shared" si="110"/>
        <v>2.4450830669018028E-2</v>
      </c>
      <c r="O376" s="93">
        <f t="shared" si="110"/>
        <v>3.2789572915812773E-4</v>
      </c>
      <c r="P376" s="93">
        <f t="shared" si="110"/>
        <v>2.4450830669018028E-2</v>
      </c>
      <c r="Q376" s="93">
        <f t="shared" si="110"/>
        <v>3.2789572915812773E-4</v>
      </c>
      <c r="R376" s="93">
        <f t="shared" si="110"/>
        <v>1.8980203107961022E-3</v>
      </c>
      <c r="S376" s="93">
        <f t="shared" si="110"/>
        <v>1.8980203107961022E-3</v>
      </c>
      <c r="T376" s="93">
        <f t="shared" si="110"/>
        <v>0</v>
      </c>
      <c r="U376" s="93">
        <f t="shared" si="110"/>
        <v>3.2789572915812773E-4</v>
      </c>
      <c r="V376" s="94">
        <f t="shared" si="110"/>
        <v>0</v>
      </c>
      <c r="X376" s="6"/>
      <c r="Y376" s="6"/>
      <c r="Z376" s="6"/>
      <c r="AA376" s="6"/>
      <c r="AB376" s="6"/>
      <c r="AC376" s="6" t="str">
        <f t="shared" si="94"/>
        <v>2.4 GS Over 1,000 kVa</v>
      </c>
      <c r="AD376" s="6"/>
      <c r="AE376" s="94">
        <f t="shared" si="111"/>
        <v>6.6575188829510371E-2</v>
      </c>
      <c r="AF376" s="94">
        <f t="shared" si="111"/>
        <v>5.8677468167683215E-3</v>
      </c>
      <c r="AG376" s="6"/>
      <c r="AH376" s="6"/>
      <c r="AI376" s="6"/>
    </row>
    <row r="377" spans="1:35" ht="16.5" x14ac:dyDescent="0.3">
      <c r="A377" s="28"/>
      <c r="B377" s="28"/>
      <c r="C377" s="90"/>
      <c r="D377" s="1">
        <f t="shared" si="108"/>
        <v>24</v>
      </c>
      <c r="E377" s="6" t="s">
        <v>246</v>
      </c>
      <c r="F377" s="92" t="s">
        <v>225</v>
      </c>
      <c r="G377" s="95">
        <f t="shared" si="109"/>
        <v>3.826151221494641E-4</v>
      </c>
      <c r="H377" s="95">
        <v>3.1890671825344672E-4</v>
      </c>
      <c r="I377" s="95">
        <f t="shared" si="110"/>
        <v>3.7368447741075356E-4</v>
      </c>
      <c r="J377" s="95">
        <f t="shared" si="110"/>
        <v>6.0924552770202298E-3</v>
      </c>
      <c r="K377" s="95">
        <f t="shared" si="110"/>
        <v>6.0924552770202289E-3</v>
      </c>
      <c r="L377" s="95">
        <f t="shared" si="110"/>
        <v>6.0924552770202289E-3</v>
      </c>
      <c r="M377" s="95">
        <f t="shared" si="110"/>
        <v>4.3302729731945239E-2</v>
      </c>
      <c r="N377" s="95">
        <f t="shared" si="110"/>
        <v>6.3493810446511806E-3</v>
      </c>
      <c r="O377" s="95">
        <f t="shared" si="110"/>
        <v>4.3302729731945239E-2</v>
      </c>
      <c r="P377" s="95">
        <f t="shared" si="110"/>
        <v>6.3493810446511806E-3</v>
      </c>
      <c r="Q377" s="95">
        <f t="shared" si="110"/>
        <v>4.3302729731945239E-2</v>
      </c>
      <c r="R377" s="95">
        <f t="shared" si="110"/>
        <v>0</v>
      </c>
      <c r="S377" s="95">
        <f t="shared" si="110"/>
        <v>0</v>
      </c>
      <c r="T377" s="95">
        <f t="shared" si="110"/>
        <v>1</v>
      </c>
      <c r="U377" s="95">
        <f t="shared" si="110"/>
        <v>4.3302729731945239E-2</v>
      </c>
      <c r="V377" s="96">
        <f t="shared" si="110"/>
        <v>0</v>
      </c>
      <c r="X377" s="6"/>
      <c r="Y377" s="6"/>
      <c r="Z377" s="6"/>
      <c r="AA377" s="6"/>
      <c r="AB377" s="6"/>
      <c r="AC377" s="6" t="str">
        <f t="shared" si="94"/>
        <v>4.1 Street and Area Lighting</v>
      </c>
      <c r="AD377" s="6"/>
      <c r="AE377" s="96">
        <f t="shared" si="111"/>
        <v>1.9455318558944393E-2</v>
      </c>
      <c r="AF377" s="96">
        <f t="shared" si="111"/>
        <v>1.7147361584779631E-3</v>
      </c>
      <c r="AG377" s="6"/>
      <c r="AH377" s="6"/>
      <c r="AI377" s="6"/>
    </row>
    <row r="378" spans="1:35" ht="16.5" x14ac:dyDescent="0.3">
      <c r="A378" s="28"/>
      <c r="B378" s="28"/>
      <c r="C378" s="97"/>
      <c r="D378" s="1">
        <f t="shared" si="108"/>
        <v>25</v>
      </c>
      <c r="E378" s="20" t="s">
        <v>247</v>
      </c>
      <c r="F378" s="98" t="s">
        <v>225</v>
      </c>
      <c r="G378" s="99">
        <f t="shared" si="109"/>
        <v>6.2801465870849699E-2</v>
      </c>
      <c r="H378" s="99">
        <v>6.5113140016555132E-2</v>
      </c>
      <c r="I378" s="99">
        <f t="shared" si="110"/>
        <v>6.1335612724188852E-2</v>
      </c>
      <c r="J378" s="99">
        <f t="shared" si="110"/>
        <v>1</v>
      </c>
      <c r="K378" s="99">
        <f t="shared" si="110"/>
        <v>1</v>
      </c>
      <c r="L378" s="99">
        <f t="shared" si="110"/>
        <v>1</v>
      </c>
      <c r="M378" s="99">
        <f t="shared" si="110"/>
        <v>1</v>
      </c>
      <c r="N378" s="99">
        <f t="shared" si="110"/>
        <v>1</v>
      </c>
      <c r="O378" s="99">
        <f t="shared" si="110"/>
        <v>1</v>
      </c>
      <c r="P378" s="99">
        <f t="shared" si="110"/>
        <v>1</v>
      </c>
      <c r="Q378" s="99">
        <f t="shared" si="110"/>
        <v>1</v>
      </c>
      <c r="R378" s="99">
        <f t="shared" si="110"/>
        <v>1</v>
      </c>
      <c r="S378" s="99">
        <f t="shared" si="110"/>
        <v>1</v>
      </c>
      <c r="T378" s="99">
        <f t="shared" si="110"/>
        <v>1</v>
      </c>
      <c r="U378" s="99">
        <f t="shared" si="110"/>
        <v>1</v>
      </c>
      <c r="V378" s="100">
        <f t="shared" si="110"/>
        <v>0</v>
      </c>
      <c r="X378" s="6"/>
      <c r="Y378" s="6"/>
      <c r="Z378" s="6"/>
      <c r="AA378" s="6"/>
      <c r="AB378" s="6"/>
      <c r="AC378" s="20" t="str">
        <f t="shared" si="94"/>
        <v xml:space="preserve">    Subtotal Rural</v>
      </c>
      <c r="AD378" s="6"/>
      <c r="AE378" s="100">
        <f t="shared" si="111"/>
        <v>1</v>
      </c>
      <c r="AF378" s="100">
        <f t="shared" si="111"/>
        <v>8.8137141177245332E-2</v>
      </c>
      <c r="AG378" s="6"/>
      <c r="AH378" s="6"/>
      <c r="AI378" s="6"/>
    </row>
    <row r="379" spans="1:35" ht="16.5" x14ac:dyDescent="0.3">
      <c r="A379" s="28"/>
      <c r="B379" s="28"/>
      <c r="C379" s="97"/>
      <c r="D379" s="1"/>
      <c r="E379" s="20"/>
      <c r="F379" s="101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3"/>
      <c r="X379" s="6"/>
      <c r="Y379" s="6"/>
      <c r="Z379" s="6"/>
      <c r="AA379" s="6"/>
      <c r="AB379" s="6"/>
      <c r="AC379" s="20" t="str">
        <f t="shared" si="94"/>
        <v/>
      </c>
      <c r="AD379" s="6"/>
      <c r="AE379" s="103"/>
      <c r="AF379" s="103"/>
      <c r="AG379" s="6"/>
      <c r="AH379" s="6"/>
      <c r="AI379" s="6"/>
    </row>
    <row r="380" spans="1:35" ht="17.25" thickBot="1" x14ac:dyDescent="0.35">
      <c r="A380" s="28"/>
      <c r="B380" s="28"/>
      <c r="C380" s="97"/>
      <c r="D380" s="1">
        <v>26</v>
      </c>
      <c r="E380" s="20" t="s">
        <v>248</v>
      </c>
      <c r="F380" s="104" t="s">
        <v>225</v>
      </c>
      <c r="G380" s="105">
        <f>SUM(G378,G366:G368)</f>
        <v>0.99999999999999989</v>
      </c>
      <c r="H380" s="105">
        <f>SUM(H378,H366:H368)</f>
        <v>1</v>
      </c>
      <c r="I380" s="105">
        <f>SUM(I378,I366:I368)</f>
        <v>1</v>
      </c>
      <c r="J380" s="105">
        <f t="shared" ref="J380:V380" si="112">SUM(J378,J366:J368)</f>
        <v>1</v>
      </c>
      <c r="K380" s="105">
        <f t="shared" si="112"/>
        <v>1</v>
      </c>
      <c r="L380" s="105">
        <f t="shared" si="112"/>
        <v>1</v>
      </c>
      <c r="M380" s="105">
        <f t="shared" si="112"/>
        <v>1</v>
      </c>
      <c r="N380" s="105">
        <f t="shared" si="112"/>
        <v>1</v>
      </c>
      <c r="O380" s="105">
        <f t="shared" si="112"/>
        <v>1</v>
      </c>
      <c r="P380" s="105">
        <f t="shared" si="112"/>
        <v>1</v>
      </c>
      <c r="Q380" s="105">
        <f t="shared" si="112"/>
        <v>1</v>
      </c>
      <c r="R380" s="105">
        <f t="shared" si="112"/>
        <v>1</v>
      </c>
      <c r="S380" s="105">
        <f t="shared" si="112"/>
        <v>1</v>
      </c>
      <c r="T380" s="105">
        <f t="shared" si="112"/>
        <v>1</v>
      </c>
      <c r="U380" s="105">
        <f t="shared" si="112"/>
        <v>1</v>
      </c>
      <c r="V380" s="105">
        <f t="shared" si="112"/>
        <v>0</v>
      </c>
      <c r="X380" s="6"/>
      <c r="Y380" s="6"/>
      <c r="Z380" s="6"/>
      <c r="AA380" s="6"/>
      <c r="AB380" s="6"/>
      <c r="AC380" s="20" t="str">
        <f t="shared" si="94"/>
        <v xml:space="preserve">      Total</v>
      </c>
      <c r="AD380" s="6"/>
      <c r="AE380" s="105">
        <f>SUM(AE378,AE366:AE368)</f>
        <v>1</v>
      </c>
      <c r="AF380" s="105">
        <f>SUM(AF378,AF366:AF368)</f>
        <v>1</v>
      </c>
      <c r="AG380" s="6"/>
      <c r="AH380" s="6"/>
      <c r="AI380" s="6"/>
    </row>
    <row r="381" spans="1:35" ht="17.25" thickTop="1" x14ac:dyDescent="0.3">
      <c r="A381" s="28"/>
      <c r="B381" s="28"/>
      <c r="C381" s="97"/>
      <c r="D381" s="1"/>
      <c r="E381" s="20"/>
      <c r="F381" s="101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3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</row>
    <row r="382" spans="1:35" ht="16.5" x14ac:dyDescent="0.3">
      <c r="A382" s="28"/>
      <c r="B382" s="28"/>
      <c r="C382" s="97"/>
      <c r="D382" s="1"/>
      <c r="E382" s="106"/>
      <c r="F382" s="106"/>
      <c r="G382" s="106"/>
      <c r="H382" s="106"/>
      <c r="I382" s="106"/>
      <c r="J382" s="106"/>
      <c r="K382" s="106"/>
      <c r="L382" s="106"/>
      <c r="M382" s="106"/>
      <c r="N382" s="106"/>
      <c r="O382" s="106"/>
      <c r="P382" s="106"/>
      <c r="Q382" s="106"/>
      <c r="R382" s="106"/>
      <c r="S382" s="106"/>
      <c r="T382" s="106"/>
      <c r="U382" s="106"/>
      <c r="V382" s="10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</row>
    <row r="383" spans="1:35" ht="16.5" x14ac:dyDescent="0.3">
      <c r="A383" s="28"/>
      <c r="B383" s="28"/>
      <c r="C383" s="97"/>
      <c r="D383" s="1"/>
      <c r="E383" s="106"/>
      <c r="F383" s="106"/>
      <c r="G383" s="106"/>
      <c r="H383" s="106"/>
      <c r="I383" s="106"/>
      <c r="J383" s="106"/>
      <c r="K383" s="106"/>
      <c r="L383" s="106"/>
      <c r="M383" s="106"/>
      <c r="N383" s="106"/>
      <c r="O383" s="106"/>
      <c r="P383" s="106"/>
      <c r="Q383" s="106"/>
      <c r="R383" s="106"/>
      <c r="S383" s="106"/>
      <c r="T383" s="106"/>
      <c r="U383" s="106"/>
      <c r="V383" s="10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</row>
    <row r="384" spans="1:35" ht="16.5" x14ac:dyDescent="0.3">
      <c r="A384" s="28"/>
      <c r="B384" s="28"/>
      <c r="C384" s="97"/>
      <c r="D384" s="1"/>
      <c r="E384" s="106"/>
      <c r="F384" s="106"/>
      <c r="G384" s="106"/>
      <c r="H384" s="106"/>
      <c r="I384" s="106"/>
      <c r="J384" s="106"/>
      <c r="K384" s="106"/>
      <c r="L384" s="106"/>
      <c r="M384" s="106"/>
      <c r="N384" s="106"/>
      <c r="O384" s="106"/>
      <c r="P384" s="106"/>
      <c r="Q384" s="106"/>
      <c r="R384" s="106"/>
      <c r="S384" s="106"/>
      <c r="T384" s="106"/>
      <c r="U384" s="106"/>
      <c r="V384" s="10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</row>
    <row r="385" spans="1:35" ht="16.5" x14ac:dyDescent="0.3">
      <c r="A385" s="28"/>
      <c r="B385" s="28"/>
      <c r="C385" s="97"/>
      <c r="D385" s="1"/>
      <c r="E385" s="106"/>
      <c r="F385" s="106"/>
      <c r="G385" s="106"/>
      <c r="H385" s="106"/>
      <c r="I385" s="106"/>
      <c r="J385" s="106"/>
      <c r="K385" s="106"/>
      <c r="L385" s="106"/>
      <c r="M385" s="106"/>
      <c r="N385" s="106"/>
      <c r="O385" s="106"/>
      <c r="P385" s="106"/>
      <c r="Q385" s="106"/>
      <c r="R385" s="106"/>
      <c r="S385" s="106"/>
      <c r="T385" s="106"/>
      <c r="U385" s="106"/>
      <c r="V385" s="10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</row>
    <row r="386" spans="1:35" ht="16.5" x14ac:dyDescent="0.3">
      <c r="A386" s="28"/>
      <c r="B386" s="28"/>
      <c r="C386" s="97"/>
      <c r="D386" s="1"/>
      <c r="E386" s="106"/>
      <c r="F386" s="106"/>
      <c r="G386" s="106"/>
      <c r="H386" s="106"/>
      <c r="I386" s="106"/>
      <c r="J386" s="106"/>
      <c r="K386" s="106"/>
      <c r="L386" s="106"/>
      <c r="M386" s="106"/>
      <c r="N386" s="106"/>
      <c r="O386" s="106"/>
      <c r="P386" s="106"/>
      <c r="Q386" s="106"/>
      <c r="R386" s="106"/>
      <c r="S386" s="106"/>
      <c r="T386" s="106"/>
      <c r="U386" s="106"/>
      <c r="V386" s="10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</row>
    <row r="387" spans="1:35" ht="16.5" x14ac:dyDescent="0.3">
      <c r="A387" s="28"/>
      <c r="B387" s="28"/>
      <c r="C387" s="97"/>
      <c r="D387" s="1"/>
      <c r="E387" s="106"/>
      <c r="F387" s="106"/>
      <c r="G387" s="106"/>
      <c r="H387" s="106"/>
      <c r="I387" s="106"/>
      <c r="J387" s="106"/>
      <c r="K387" s="106"/>
      <c r="L387" s="106"/>
      <c r="M387" s="106"/>
      <c r="N387" s="106"/>
      <c r="O387" s="106"/>
      <c r="P387" s="106"/>
      <c r="Q387" s="106"/>
      <c r="R387" s="106"/>
      <c r="S387" s="106"/>
      <c r="T387" s="106"/>
      <c r="U387" s="106"/>
      <c r="V387" s="10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</row>
    <row r="388" spans="1:35" ht="16.5" x14ac:dyDescent="0.3">
      <c r="A388" s="28"/>
      <c r="B388" s="28"/>
      <c r="C388" s="19"/>
      <c r="D388" s="1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</row>
    <row r="389" spans="1:35" ht="16.5" x14ac:dyDescent="0.3">
      <c r="A389" s="28"/>
      <c r="B389" s="28"/>
      <c r="C389" s="19"/>
      <c r="D389" s="1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7" t="s">
        <v>250</v>
      </c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42" t="str">
        <f>+V389</f>
        <v>Schedule F 3.2A</v>
      </c>
    </row>
    <row r="390" spans="1:35" ht="16.5" x14ac:dyDescent="0.3">
      <c r="A390" s="28"/>
      <c r="B390" s="28"/>
      <c r="C390" s="19"/>
      <c r="D390" s="1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7" t="s">
        <v>251</v>
      </c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7" t="s">
        <v>252</v>
      </c>
    </row>
    <row r="391" spans="1:35" ht="16.5" x14ac:dyDescent="0.3">
      <c r="A391" s="43"/>
      <c r="B391" s="43"/>
      <c r="C391" s="107"/>
      <c r="D391" s="8" t="str">
        <f>$D$5</f>
        <v>NEWFOUNDLAND AND LABRADOR HYDRO</v>
      </c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X391" s="6"/>
      <c r="Y391" s="6"/>
      <c r="Z391" s="6"/>
      <c r="AA391" s="9" t="s">
        <v>6</v>
      </c>
      <c r="AB391" s="9"/>
      <c r="AC391" s="10"/>
      <c r="AD391" s="9"/>
      <c r="AE391" s="9"/>
      <c r="AF391" s="9"/>
      <c r="AG391" s="9"/>
      <c r="AH391" s="11"/>
      <c r="AI391" s="11"/>
    </row>
    <row r="392" spans="1:35" ht="16.5" x14ac:dyDescent="0.3">
      <c r="A392" s="43"/>
      <c r="B392" s="43"/>
      <c r="C392" s="107"/>
      <c r="D392" s="8" t="str">
        <f>$D$6</f>
        <v>2027 Test Year Cost of Service Study</v>
      </c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X392" s="6"/>
      <c r="Y392" s="6"/>
      <c r="Z392" s="1"/>
      <c r="AA392" s="9" t="str">
        <f>RunName</f>
        <v>2027 Test Year Cost of Service Study</v>
      </c>
      <c r="AB392" s="9"/>
      <c r="AC392" s="10"/>
      <c r="AD392" s="9"/>
      <c r="AE392" s="9"/>
      <c r="AF392" s="9"/>
      <c r="AG392" s="9"/>
      <c r="AH392" s="11"/>
      <c r="AI392" s="11"/>
    </row>
    <row r="393" spans="1:35" ht="16.5" x14ac:dyDescent="0.3">
      <c r="A393" s="43"/>
      <c r="B393" s="43"/>
      <c r="C393" s="107"/>
      <c r="D393" s="8" t="str">
        <f>$B$1</f>
        <v>Island Interconnected</v>
      </c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X393" s="6"/>
      <c r="Y393" s="6"/>
      <c r="Z393" s="6"/>
      <c r="AA393" s="9" t="str">
        <f>$B$1</f>
        <v>Island Interconnected</v>
      </c>
      <c r="AB393" s="9"/>
      <c r="AC393" s="10"/>
      <c r="AD393" s="9"/>
      <c r="AE393" s="9"/>
      <c r="AF393" s="9"/>
      <c r="AG393" s="9"/>
      <c r="AH393" s="11"/>
      <c r="AI393" s="11"/>
    </row>
    <row r="394" spans="1:35" ht="16.5" x14ac:dyDescent="0.3">
      <c r="A394" s="43"/>
      <c r="B394" s="43"/>
      <c r="C394" s="107"/>
      <c r="D394" s="8" t="s">
        <v>253</v>
      </c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X394" s="6"/>
      <c r="Y394" s="6"/>
      <c r="Z394" s="6"/>
      <c r="AA394" s="9" t="str">
        <f>+D394&amp;" (CONT'D.)"</f>
        <v>Allocation of Functionalized Amounts to Classes of Service (CONT'D.)</v>
      </c>
      <c r="AB394" s="9"/>
      <c r="AC394" s="10"/>
      <c r="AD394" s="9"/>
      <c r="AE394" s="9"/>
      <c r="AF394" s="9"/>
      <c r="AG394" s="9"/>
      <c r="AH394" s="11"/>
      <c r="AI394" s="11"/>
    </row>
    <row r="395" spans="1:35" s="12" customFormat="1" ht="16.5" x14ac:dyDescent="0.3">
      <c r="A395" s="45"/>
      <c r="B395" s="45"/>
      <c r="C395" s="15"/>
      <c r="D395" s="1"/>
      <c r="E395" s="1">
        <f t="shared" ref="E395:V395" si="113">MAX(D395)+NoOne</f>
        <v>1</v>
      </c>
      <c r="F395" s="1">
        <f t="shared" si="113"/>
        <v>2</v>
      </c>
      <c r="G395" s="1">
        <f t="shared" si="113"/>
        <v>3</v>
      </c>
      <c r="H395" s="1">
        <f t="shared" si="113"/>
        <v>4</v>
      </c>
      <c r="I395" s="1">
        <f t="shared" si="113"/>
        <v>5</v>
      </c>
      <c r="J395" s="1">
        <f t="shared" si="113"/>
        <v>6</v>
      </c>
      <c r="K395" s="1">
        <f t="shared" si="113"/>
        <v>7</v>
      </c>
      <c r="L395" s="1">
        <f t="shared" si="113"/>
        <v>8</v>
      </c>
      <c r="M395" s="1">
        <f t="shared" si="113"/>
        <v>9</v>
      </c>
      <c r="N395" s="1">
        <f t="shared" si="113"/>
        <v>10</v>
      </c>
      <c r="O395" s="1">
        <f t="shared" si="113"/>
        <v>11</v>
      </c>
      <c r="P395" s="1">
        <f t="shared" si="113"/>
        <v>12</v>
      </c>
      <c r="Q395" s="1">
        <f t="shared" si="113"/>
        <v>13</v>
      </c>
      <c r="R395" s="1">
        <f t="shared" si="113"/>
        <v>14</v>
      </c>
      <c r="S395" s="1">
        <f t="shared" si="113"/>
        <v>15</v>
      </c>
      <c r="T395" s="1">
        <f t="shared" si="113"/>
        <v>16</v>
      </c>
      <c r="U395" s="1">
        <f t="shared" si="113"/>
        <v>17</v>
      </c>
      <c r="V395" s="1">
        <f t="shared" si="113"/>
        <v>18</v>
      </c>
      <c r="X395" s="13"/>
      <c r="Y395" s="13"/>
      <c r="Z395" s="13"/>
      <c r="AA395" s="6"/>
      <c r="AB395" s="6"/>
      <c r="AC395" s="1">
        <v>1</v>
      </c>
      <c r="AD395" s="13"/>
      <c r="AE395" s="1">
        <v>19</v>
      </c>
      <c r="AF395" s="1">
        <v>20</v>
      </c>
      <c r="AG395" s="6"/>
      <c r="AH395" s="6"/>
      <c r="AI395" s="6"/>
    </row>
    <row r="396" spans="1:35" s="12" customFormat="1" ht="16.5" x14ac:dyDescent="0.3">
      <c r="A396" s="45"/>
      <c r="B396" s="45"/>
      <c r="C396" s="15"/>
      <c r="D396" s="1"/>
      <c r="E396" s="13"/>
      <c r="F396" s="13"/>
      <c r="G396" s="13"/>
      <c r="H396" s="13"/>
      <c r="I396" s="13"/>
      <c r="J396" s="13" t="s">
        <v>8</v>
      </c>
      <c r="K396" s="14" t="s">
        <v>9</v>
      </c>
      <c r="L396" s="14"/>
      <c r="M396" s="14"/>
      <c r="N396" s="14"/>
      <c r="O396" s="14"/>
      <c r="P396" s="14"/>
      <c r="Q396" s="14"/>
      <c r="R396" s="14"/>
      <c r="S396" s="14"/>
      <c r="T396" s="14"/>
      <c r="U396" s="6"/>
      <c r="V396" s="13" t="s">
        <v>10</v>
      </c>
      <c r="X396" s="13"/>
      <c r="Y396" s="13"/>
      <c r="Z396" s="13"/>
      <c r="AA396" s="13"/>
      <c r="AB396" s="13"/>
      <c r="AE396" s="78" t="s">
        <v>135</v>
      </c>
      <c r="AF396" s="65"/>
      <c r="AG396" s="13"/>
      <c r="AH396" s="13"/>
      <c r="AI396" s="13"/>
    </row>
    <row r="397" spans="1:35" s="12" customFormat="1" ht="16.5" x14ac:dyDescent="0.3">
      <c r="A397" s="45"/>
      <c r="B397" s="45"/>
      <c r="C397" s="15"/>
      <c r="D397" s="1" t="s">
        <v>14</v>
      </c>
      <c r="E397" s="13"/>
      <c r="F397" s="13" t="s">
        <v>15</v>
      </c>
      <c r="G397" s="13" t="s">
        <v>16</v>
      </c>
      <c r="H397" s="13" t="s">
        <v>16</v>
      </c>
      <c r="I397" s="13" t="s">
        <v>17</v>
      </c>
      <c r="J397" s="13" t="s">
        <v>17</v>
      </c>
      <c r="K397" s="13" t="s">
        <v>18</v>
      </c>
      <c r="L397" s="14" t="s">
        <v>19</v>
      </c>
      <c r="M397" s="14"/>
      <c r="N397" s="14" t="s">
        <v>20</v>
      </c>
      <c r="O397" s="14"/>
      <c r="P397" s="14" t="s">
        <v>21</v>
      </c>
      <c r="Q397" s="14"/>
      <c r="R397" s="48" t="s">
        <v>22</v>
      </c>
      <c r="S397" s="48" t="s">
        <v>23</v>
      </c>
      <c r="T397" s="49" t="s">
        <v>24</v>
      </c>
      <c r="U397" s="48" t="s">
        <v>25</v>
      </c>
      <c r="V397" s="13" t="s">
        <v>26</v>
      </c>
      <c r="X397" s="13"/>
      <c r="Y397" s="13"/>
      <c r="Z397" s="13"/>
      <c r="AA397" s="6"/>
      <c r="AB397" s="6"/>
      <c r="AC397" s="13"/>
      <c r="AD397" s="13"/>
      <c r="AE397" s="13" t="s">
        <v>136</v>
      </c>
      <c r="AF397" s="13" t="s">
        <v>137</v>
      </c>
      <c r="AG397" s="6"/>
      <c r="AH397" s="6"/>
      <c r="AI397" s="6"/>
    </row>
    <row r="398" spans="1:35" s="12" customFormat="1" ht="16.5" x14ac:dyDescent="0.3">
      <c r="A398" s="45"/>
      <c r="B398" s="45"/>
      <c r="C398" s="15"/>
      <c r="D398" s="1" t="s">
        <v>30</v>
      </c>
      <c r="E398" s="13" t="s">
        <v>31</v>
      </c>
      <c r="F398" s="13" t="s">
        <v>32</v>
      </c>
      <c r="G398" s="13" t="s">
        <v>33</v>
      </c>
      <c r="H398" s="13" t="s">
        <v>34</v>
      </c>
      <c r="I398" s="13" t="s">
        <v>33</v>
      </c>
      <c r="J398" s="13" t="s">
        <v>33</v>
      </c>
      <c r="K398" s="13" t="s">
        <v>33</v>
      </c>
      <c r="L398" s="13" t="s">
        <v>33</v>
      </c>
      <c r="M398" s="13" t="s">
        <v>35</v>
      </c>
      <c r="N398" s="13" t="s">
        <v>33</v>
      </c>
      <c r="O398" s="13" t="s">
        <v>35</v>
      </c>
      <c r="P398" s="13" t="s">
        <v>33</v>
      </c>
      <c r="Q398" s="13" t="s">
        <v>35</v>
      </c>
      <c r="R398" s="13" t="s">
        <v>35</v>
      </c>
      <c r="S398" s="13" t="s">
        <v>35</v>
      </c>
      <c r="T398" s="13" t="s">
        <v>35</v>
      </c>
      <c r="U398" s="13" t="s">
        <v>35</v>
      </c>
      <c r="V398" s="13" t="s">
        <v>35</v>
      </c>
      <c r="X398" s="13"/>
      <c r="Y398" s="13"/>
      <c r="Z398" s="13"/>
      <c r="AA398" s="6"/>
      <c r="AB398" s="6"/>
      <c r="AC398" s="13" t="s">
        <v>31</v>
      </c>
      <c r="AD398" s="13"/>
      <c r="AE398" s="13" t="s">
        <v>138</v>
      </c>
      <c r="AF398" s="13" t="s">
        <v>139</v>
      </c>
      <c r="AG398" s="6"/>
      <c r="AH398" s="6"/>
      <c r="AI398" s="6"/>
    </row>
    <row r="399" spans="1:35" s="12" customFormat="1" ht="16.5" x14ac:dyDescent="0.3">
      <c r="A399" s="45"/>
      <c r="B399" s="45"/>
      <c r="C399" s="15"/>
      <c r="D399" s="1"/>
      <c r="E399" s="21" t="s">
        <v>254</v>
      </c>
      <c r="F399" s="13"/>
      <c r="G399" s="13" t="s">
        <v>37</v>
      </c>
      <c r="H399" s="13" t="s">
        <v>37</v>
      </c>
      <c r="I399" s="13" t="s">
        <v>37</v>
      </c>
      <c r="J399" s="13" t="s">
        <v>37</v>
      </c>
      <c r="K399" s="13" t="s">
        <v>37</v>
      </c>
      <c r="L399" s="13" t="s">
        <v>37</v>
      </c>
      <c r="M399" s="13" t="s">
        <v>37</v>
      </c>
      <c r="N399" s="13" t="s">
        <v>37</v>
      </c>
      <c r="O399" s="13" t="s">
        <v>37</v>
      </c>
      <c r="P399" s="13" t="s">
        <v>37</v>
      </c>
      <c r="Q399" s="13" t="s">
        <v>37</v>
      </c>
      <c r="R399" s="13" t="s">
        <v>37</v>
      </c>
      <c r="S399" s="13" t="s">
        <v>37</v>
      </c>
      <c r="T399" s="13" t="s">
        <v>37</v>
      </c>
      <c r="U399" s="13" t="s">
        <v>37</v>
      </c>
      <c r="V399" s="13" t="s">
        <v>37</v>
      </c>
      <c r="X399" s="13"/>
      <c r="Y399" s="13"/>
      <c r="Z399" s="13"/>
      <c r="AA399" s="6"/>
      <c r="AB399" s="6"/>
      <c r="AC399" s="20" t="str">
        <f t="shared" ref="AC399:AC443" si="114">IF(ISBLANK(E399),"",E399)</f>
        <v>Allocated Rev Reqmt Excl Return</v>
      </c>
      <c r="AD399" s="13"/>
      <c r="AE399" s="13"/>
      <c r="AF399" s="13" t="s">
        <v>37</v>
      </c>
      <c r="AG399" s="6"/>
      <c r="AH399" s="6"/>
      <c r="AI399" s="6"/>
    </row>
    <row r="400" spans="1:35" ht="16.5" x14ac:dyDescent="0.3">
      <c r="A400" s="28"/>
      <c r="B400" s="28"/>
      <c r="C400" s="26"/>
      <c r="D400" s="1">
        <v>1</v>
      </c>
      <c r="E400" s="6" t="s">
        <v>224</v>
      </c>
      <c r="F400" s="22">
        <f>SUM(G400:AF400)</f>
        <v>480816111.90549165</v>
      </c>
      <c r="G400" s="22">
        <f t="shared" ref="G400:U402" si="115">G366*G$317</f>
        <v>238369119.57864198</v>
      </c>
      <c r="H400" s="22">
        <f t="shared" si="115"/>
        <v>202361150.29517293</v>
      </c>
      <c r="I400" s="22">
        <f t="shared" si="115"/>
        <v>37946236.6186601</v>
      </c>
      <c r="J400" s="22">
        <f t="shared" si="115"/>
        <v>0</v>
      </c>
      <c r="K400" s="22">
        <f t="shared" si="115"/>
        <v>0</v>
      </c>
      <c r="L400" s="22">
        <f t="shared" si="115"/>
        <v>0</v>
      </c>
      <c r="M400" s="22">
        <f t="shared" si="115"/>
        <v>0</v>
      </c>
      <c r="N400" s="22">
        <f t="shared" si="115"/>
        <v>0</v>
      </c>
      <c r="O400" s="22">
        <f t="shared" si="115"/>
        <v>0</v>
      </c>
      <c r="P400" s="22">
        <f t="shared" si="115"/>
        <v>0</v>
      </c>
      <c r="Q400" s="22">
        <f t="shared" si="115"/>
        <v>0</v>
      </c>
      <c r="R400" s="22">
        <f t="shared" si="115"/>
        <v>0</v>
      </c>
      <c r="S400" s="22">
        <f t="shared" si="115"/>
        <v>0</v>
      </c>
      <c r="T400" s="22">
        <f t="shared" si="115"/>
        <v>0</v>
      </c>
      <c r="U400" s="22">
        <f t="shared" si="115"/>
        <v>0</v>
      </c>
      <c r="V400" s="22">
        <f>R545</f>
        <v>1324923.3285962211</v>
      </c>
      <c r="X400" s="6"/>
      <c r="Y400" s="6"/>
      <c r="Z400" s="6"/>
      <c r="AA400" s="6"/>
      <c r="AB400" s="6"/>
      <c r="AC400" s="6" t="str">
        <f t="shared" si="114"/>
        <v>Newfoundland Power</v>
      </c>
      <c r="AD400" s="6"/>
      <c r="AE400" s="22">
        <f t="shared" ref="AE400:AF402" si="116">AE366*AE$317</f>
        <v>0</v>
      </c>
      <c r="AF400" s="22">
        <f t="shared" si="116"/>
        <v>814682.08442035457</v>
      </c>
      <c r="AG400" s="6"/>
      <c r="AH400" s="6"/>
      <c r="AI400" s="6"/>
    </row>
    <row r="401" spans="1:35" ht="16.5" x14ac:dyDescent="0.3">
      <c r="A401" s="28"/>
      <c r="B401" s="28"/>
      <c r="C401" s="26"/>
      <c r="D401" s="1">
        <v>2</v>
      </c>
      <c r="E401" s="17" t="s">
        <v>227</v>
      </c>
      <c r="F401" s="22">
        <f>SUM(G401:AF401)</f>
        <v>36412158.481393293</v>
      </c>
      <c r="G401" s="22">
        <f t="shared" si="115"/>
        <v>13380602.731330933</v>
      </c>
      <c r="H401" s="22">
        <f t="shared" si="115"/>
        <v>20636933.692231912</v>
      </c>
      <c r="I401" s="22">
        <f t="shared" si="115"/>
        <v>2074210.3552389927</v>
      </c>
      <c r="J401" s="22">
        <f t="shared" si="115"/>
        <v>0</v>
      </c>
      <c r="K401" s="22">
        <f t="shared" si="115"/>
        <v>0</v>
      </c>
      <c r="L401" s="22">
        <f t="shared" si="115"/>
        <v>0</v>
      </c>
      <c r="M401" s="22">
        <f t="shared" si="115"/>
        <v>0</v>
      </c>
      <c r="N401" s="22">
        <f t="shared" si="115"/>
        <v>0</v>
      </c>
      <c r="O401" s="22">
        <f t="shared" si="115"/>
        <v>0</v>
      </c>
      <c r="P401" s="22">
        <f t="shared" si="115"/>
        <v>0</v>
      </c>
      <c r="Q401" s="22">
        <f t="shared" si="115"/>
        <v>0</v>
      </c>
      <c r="R401" s="22">
        <f t="shared" si="115"/>
        <v>0</v>
      </c>
      <c r="S401" s="22">
        <f t="shared" si="115"/>
        <v>0</v>
      </c>
      <c r="T401" s="22">
        <f t="shared" si="115"/>
        <v>0</v>
      </c>
      <c r="U401" s="22">
        <f t="shared" si="115"/>
        <v>0</v>
      </c>
      <c r="V401" s="22">
        <f>R553</f>
        <v>246571.30094734966</v>
      </c>
      <c r="X401" s="6"/>
      <c r="Y401" s="6"/>
      <c r="Z401" s="6"/>
      <c r="AA401" s="6"/>
      <c r="AB401" s="6"/>
      <c r="AC401" s="17" t="str">
        <f t="shared" si="114"/>
        <v>Industrial - Firm</v>
      </c>
      <c r="AD401" s="6"/>
      <c r="AE401" s="22">
        <f t="shared" si="116"/>
        <v>0</v>
      </c>
      <c r="AF401" s="22">
        <f t="shared" si="116"/>
        <v>73840.40164409412</v>
      </c>
      <c r="AG401" s="6"/>
      <c r="AH401" s="6"/>
      <c r="AI401" s="6"/>
    </row>
    <row r="402" spans="1:35" ht="16.5" x14ac:dyDescent="0.3">
      <c r="A402" s="28"/>
      <c r="B402" s="28"/>
      <c r="C402" s="26"/>
      <c r="D402" s="1">
        <v>3</v>
      </c>
      <c r="E402" s="17" t="s">
        <v>229</v>
      </c>
      <c r="F402" s="22">
        <f>SUM(G402:AF402)</f>
        <v>0</v>
      </c>
      <c r="G402" s="22">
        <f t="shared" si="115"/>
        <v>0</v>
      </c>
      <c r="H402" s="22">
        <f t="shared" si="115"/>
        <v>0</v>
      </c>
      <c r="I402" s="22">
        <f t="shared" si="115"/>
        <v>0</v>
      </c>
      <c r="J402" s="22">
        <f t="shared" si="115"/>
        <v>0</v>
      </c>
      <c r="K402" s="22">
        <f t="shared" si="115"/>
        <v>0</v>
      </c>
      <c r="L402" s="22">
        <f t="shared" si="115"/>
        <v>0</v>
      </c>
      <c r="M402" s="22">
        <f t="shared" si="115"/>
        <v>0</v>
      </c>
      <c r="N402" s="22">
        <f t="shared" si="115"/>
        <v>0</v>
      </c>
      <c r="O402" s="22">
        <f t="shared" si="115"/>
        <v>0</v>
      </c>
      <c r="P402" s="22">
        <f t="shared" si="115"/>
        <v>0</v>
      </c>
      <c r="Q402" s="22">
        <f t="shared" si="115"/>
        <v>0</v>
      </c>
      <c r="R402" s="22">
        <f t="shared" si="115"/>
        <v>0</v>
      </c>
      <c r="S402" s="22">
        <f t="shared" si="115"/>
        <v>0</v>
      </c>
      <c r="T402" s="22">
        <f t="shared" si="115"/>
        <v>0</v>
      </c>
      <c r="U402" s="22">
        <f t="shared" si="115"/>
        <v>0</v>
      </c>
      <c r="V402" s="22">
        <f>IF(V$363&lt;&gt;0,(V$317/V$363)*V$353,0)</f>
        <v>0</v>
      </c>
      <c r="X402" s="6"/>
      <c r="Y402" s="6"/>
      <c r="Z402" s="6"/>
      <c r="AA402" s="6"/>
      <c r="AB402" s="6"/>
      <c r="AC402" s="17" t="str">
        <f t="shared" si="114"/>
        <v>Industrial - Non-Firm</v>
      </c>
      <c r="AD402" s="6"/>
      <c r="AE402" s="22">
        <f t="shared" si="116"/>
        <v>0</v>
      </c>
      <c r="AF402" s="22">
        <f t="shared" si="116"/>
        <v>0</v>
      </c>
      <c r="AG402" s="6"/>
      <c r="AH402" s="6"/>
      <c r="AI402" s="6"/>
    </row>
    <row r="403" spans="1:35" ht="16.5" x14ac:dyDescent="0.3">
      <c r="A403" s="28"/>
      <c r="B403" s="28"/>
      <c r="C403" s="26"/>
      <c r="D403" s="1"/>
      <c r="E403" s="20" t="s">
        <v>230</v>
      </c>
      <c r="F403" s="22"/>
      <c r="G403" s="22" t="s">
        <v>39</v>
      </c>
      <c r="H403" s="22" t="s">
        <v>39</v>
      </c>
      <c r="I403" s="22" t="s">
        <v>39</v>
      </c>
      <c r="J403" s="22" t="s">
        <v>39</v>
      </c>
      <c r="K403" s="22" t="s">
        <v>39</v>
      </c>
      <c r="L403" s="22" t="s">
        <v>39</v>
      </c>
      <c r="M403" s="22" t="s">
        <v>39</v>
      </c>
      <c r="N403" s="22" t="s">
        <v>39</v>
      </c>
      <c r="O403" s="22" t="s">
        <v>39</v>
      </c>
      <c r="P403" s="22" t="s">
        <v>39</v>
      </c>
      <c r="Q403" s="22" t="s">
        <v>39</v>
      </c>
      <c r="R403" s="22" t="s">
        <v>39</v>
      </c>
      <c r="S403" s="22" t="s">
        <v>39</v>
      </c>
      <c r="T403" s="22" t="s">
        <v>39</v>
      </c>
      <c r="U403" s="22" t="s">
        <v>39</v>
      </c>
      <c r="V403" s="22"/>
      <c r="X403" s="6"/>
      <c r="Y403" s="6"/>
      <c r="Z403" s="6"/>
      <c r="AA403" s="6"/>
      <c r="AB403" s="6"/>
      <c r="AC403" s="20" t="str">
        <f t="shared" si="114"/>
        <v>Rural</v>
      </c>
      <c r="AD403" s="6"/>
      <c r="AE403" s="22" t="s">
        <v>39</v>
      </c>
      <c r="AF403" s="22" t="s">
        <v>39</v>
      </c>
      <c r="AG403" s="6"/>
      <c r="AH403" s="6"/>
      <c r="AI403" s="6"/>
    </row>
    <row r="404" spans="1:35" ht="16.5" x14ac:dyDescent="0.3">
      <c r="A404" s="28"/>
      <c r="B404" s="28"/>
      <c r="C404" s="26"/>
      <c r="D404" s="1">
        <f t="shared" ref="D404:D413" si="117">MAX(D401:D403)+NoOne</f>
        <v>4</v>
      </c>
      <c r="E404" s="17" t="s">
        <v>232</v>
      </c>
      <c r="F404" s="22">
        <f t="shared" ref="F404:F411" si="118">SUM(G404:AF404)</f>
        <v>21598402.865963969</v>
      </c>
      <c r="G404" s="22">
        <f t="shared" ref="G404:U411" si="119">G370*G$317</f>
        <v>5396130.6673474954</v>
      </c>
      <c r="H404" s="22">
        <f t="shared" si="119"/>
        <v>3985645.0366150229</v>
      </c>
      <c r="I404" s="22">
        <f t="shared" si="119"/>
        <v>836487.73774793651</v>
      </c>
      <c r="J404" s="22">
        <f t="shared" si="119"/>
        <v>2182158.9990687631</v>
      </c>
      <c r="K404" s="22">
        <f t="shared" si="119"/>
        <v>1414326.3493175458</v>
      </c>
      <c r="L404" s="22">
        <f t="shared" si="119"/>
        <v>2457944.7848170386</v>
      </c>
      <c r="M404" s="22">
        <f t="shared" si="119"/>
        <v>985977.55437785806</v>
      </c>
      <c r="N404" s="22">
        <f t="shared" si="119"/>
        <v>238168.19944180458</v>
      </c>
      <c r="O404" s="22">
        <f t="shared" si="119"/>
        <v>595766.73180323141</v>
      </c>
      <c r="P404" s="22">
        <f t="shared" si="119"/>
        <v>364803.00789302489</v>
      </c>
      <c r="Q404" s="22">
        <f t="shared" si="119"/>
        <v>587292.12555049499</v>
      </c>
      <c r="R404" s="22">
        <f t="shared" si="119"/>
        <v>119519.34014950373</v>
      </c>
      <c r="S404" s="22">
        <f t="shared" si="119"/>
        <v>390843.99500633468</v>
      </c>
      <c r="T404" s="22">
        <f t="shared" si="119"/>
        <v>0</v>
      </c>
      <c r="U404" s="22">
        <f t="shared" si="119"/>
        <v>1636172.86453466</v>
      </c>
      <c r="V404" s="22">
        <f>IF(V$363&lt;&gt;0,(V$317/V$363)*V$353,0)</f>
        <v>0</v>
      </c>
      <c r="X404" s="6"/>
      <c r="Y404" s="6"/>
      <c r="Z404" s="6"/>
      <c r="AA404" s="6"/>
      <c r="AB404" s="6"/>
      <c r="AC404" s="17" t="str">
        <f t="shared" si="114"/>
        <v>1.1 Domestic</v>
      </c>
      <c r="AD404" s="6"/>
      <c r="AE404" s="22">
        <f t="shared" ref="AE404:AF411" si="120">AE370*AE$317</f>
        <v>384122.60818268097</v>
      </c>
      <c r="AF404" s="22">
        <f t="shared" si="120"/>
        <v>23042.864110577801</v>
      </c>
      <c r="AG404" s="6"/>
      <c r="AH404" s="6"/>
      <c r="AI404" s="6"/>
    </row>
    <row r="405" spans="1:35" ht="16.5" x14ac:dyDescent="0.3">
      <c r="A405" s="28"/>
      <c r="B405" s="28"/>
      <c r="C405" s="26"/>
      <c r="D405" s="1">
        <f t="shared" si="117"/>
        <v>5</v>
      </c>
      <c r="E405" s="17" t="s">
        <v>234</v>
      </c>
      <c r="F405" s="22">
        <f t="shared" si="118"/>
        <v>24122130.964175247</v>
      </c>
      <c r="G405" s="22">
        <f t="shared" si="119"/>
        <v>6263306.8912795642</v>
      </c>
      <c r="H405" s="22">
        <f t="shared" si="119"/>
        <v>5373459.0878912453</v>
      </c>
      <c r="I405" s="22">
        <f t="shared" si="119"/>
        <v>970914.11147811532</v>
      </c>
      <c r="J405" s="22">
        <f t="shared" si="119"/>
        <v>2532839.2396868085</v>
      </c>
      <c r="K405" s="22">
        <f t="shared" si="119"/>
        <v>1641613.3181877227</v>
      </c>
      <c r="L405" s="22">
        <f t="shared" si="119"/>
        <v>2852944.7224628963</v>
      </c>
      <c r="M405" s="22">
        <f t="shared" si="119"/>
        <v>747476.16840129299</v>
      </c>
      <c r="N405" s="22">
        <f t="shared" si="119"/>
        <v>276442.62468921376</v>
      </c>
      <c r="O405" s="22">
        <f t="shared" si="119"/>
        <v>451654.7379521571</v>
      </c>
      <c r="P405" s="22">
        <f t="shared" si="119"/>
        <v>423428.06988012412</v>
      </c>
      <c r="Q405" s="22">
        <f t="shared" si="119"/>
        <v>445230.08235794114</v>
      </c>
      <c r="R405" s="22">
        <f t="shared" si="119"/>
        <v>90608.4099258965</v>
      </c>
      <c r="S405" s="22">
        <f t="shared" si="119"/>
        <v>296301.44269798388</v>
      </c>
      <c r="T405" s="22">
        <f t="shared" si="119"/>
        <v>0</v>
      </c>
      <c r="U405" s="22">
        <f t="shared" si="119"/>
        <v>1240393.5750811654</v>
      </c>
      <c r="V405" s="22">
        <f>IF(V$363&lt;&gt;0,(V$317/V$363)*V$354,0)</f>
        <v>0</v>
      </c>
      <c r="X405" s="6"/>
      <c r="Y405" s="6"/>
      <c r="Z405" s="6"/>
      <c r="AA405" s="6"/>
      <c r="AB405" s="6"/>
      <c r="AC405" s="17" t="str">
        <f t="shared" si="114"/>
        <v xml:space="preserve">1.12 Domestic All Electric </v>
      </c>
      <c r="AD405" s="6"/>
      <c r="AE405" s="22">
        <f t="shared" si="120"/>
        <v>486343.55667470931</v>
      </c>
      <c r="AF405" s="22">
        <f t="shared" si="120"/>
        <v>29174.925528415435</v>
      </c>
      <c r="AG405" s="6"/>
      <c r="AH405" s="6"/>
      <c r="AI405" s="6"/>
    </row>
    <row r="406" spans="1:35" ht="16.5" x14ac:dyDescent="0.3">
      <c r="A406" s="28"/>
      <c r="B406" s="28"/>
      <c r="C406" s="26"/>
      <c r="D406" s="1">
        <f t="shared" si="117"/>
        <v>6</v>
      </c>
      <c r="E406" s="17" t="s">
        <v>236</v>
      </c>
      <c r="F406" s="22">
        <f t="shared" si="118"/>
        <v>65431.548605191514</v>
      </c>
      <c r="G406" s="22">
        <f t="shared" si="119"/>
        <v>21705.245175892083</v>
      </c>
      <c r="H406" s="22">
        <f t="shared" si="119"/>
        <v>12636.474515665657</v>
      </c>
      <c r="I406" s="22">
        <f t="shared" si="119"/>
        <v>3364.6648967029314</v>
      </c>
      <c r="J406" s="22">
        <f t="shared" si="119"/>
        <v>8777.4553670786136</v>
      </c>
      <c r="K406" s="22">
        <f t="shared" si="119"/>
        <v>5688.946777441859</v>
      </c>
      <c r="L406" s="22">
        <f t="shared" si="119"/>
        <v>9886.7684035316051</v>
      </c>
      <c r="M406" s="22">
        <f t="shared" si="119"/>
        <v>85.782690722709447</v>
      </c>
      <c r="N406" s="22">
        <f t="shared" si="119"/>
        <v>958.00110869558227</v>
      </c>
      <c r="O406" s="22">
        <f t="shared" si="119"/>
        <v>51.833302969461265</v>
      </c>
      <c r="P406" s="22">
        <f t="shared" si="119"/>
        <v>1467.3734227998625</v>
      </c>
      <c r="Q406" s="22">
        <f t="shared" si="119"/>
        <v>51.095989504314552</v>
      </c>
      <c r="R406" s="22">
        <f t="shared" si="119"/>
        <v>10.398503034784127</v>
      </c>
      <c r="S406" s="22">
        <f t="shared" si="119"/>
        <v>34.004475452397308</v>
      </c>
      <c r="T406" s="22">
        <f t="shared" si="119"/>
        <v>0</v>
      </c>
      <c r="U406" s="22">
        <f t="shared" si="119"/>
        <v>142.35142593669804</v>
      </c>
      <c r="V406" s="22">
        <f>IF(V$363&lt;&gt;0,(V$317/V$363)*V$355,0)</f>
        <v>0</v>
      </c>
      <c r="X406" s="6"/>
      <c r="Y406" s="6"/>
      <c r="Z406" s="6"/>
      <c r="AA406" s="6"/>
      <c r="AB406" s="6"/>
      <c r="AC406" s="17" t="str">
        <f t="shared" si="114"/>
        <v>1.3 Special</v>
      </c>
      <c r="AD406" s="6"/>
      <c r="AE406" s="22">
        <f t="shared" si="120"/>
        <v>538.82910515338892</v>
      </c>
      <c r="AF406" s="22">
        <f t="shared" si="120"/>
        <v>32.323444609563047</v>
      </c>
      <c r="AG406" s="6"/>
      <c r="AH406" s="6"/>
      <c r="AI406" s="6"/>
    </row>
    <row r="407" spans="1:35" ht="16.5" x14ac:dyDescent="0.3">
      <c r="A407" s="28"/>
      <c r="B407" s="28"/>
      <c r="C407" s="26"/>
      <c r="D407" s="1">
        <f t="shared" si="117"/>
        <v>7</v>
      </c>
      <c r="E407" s="17" t="s">
        <v>238</v>
      </c>
      <c r="F407" s="22">
        <f t="shared" si="118"/>
        <v>10534146.725891979</v>
      </c>
      <c r="G407" s="22">
        <f t="shared" si="119"/>
        <v>2484113.6312256693</v>
      </c>
      <c r="H407" s="22">
        <f t="shared" si="119"/>
        <v>2667840.0792098134</v>
      </c>
      <c r="I407" s="22">
        <f t="shared" si="119"/>
        <v>385077.88632075366</v>
      </c>
      <c r="J407" s="22">
        <f t="shared" si="119"/>
        <v>1004558.8680588924</v>
      </c>
      <c r="K407" s="22">
        <f t="shared" si="119"/>
        <v>651086.41356684593</v>
      </c>
      <c r="L407" s="22">
        <f t="shared" si="119"/>
        <v>1131517.103859422</v>
      </c>
      <c r="M407" s="22">
        <f t="shared" si="119"/>
        <v>260908.05383312076</v>
      </c>
      <c r="N407" s="22">
        <f t="shared" si="119"/>
        <v>109640.94593518869</v>
      </c>
      <c r="O407" s="22">
        <f t="shared" si="119"/>
        <v>157650.99098161643</v>
      </c>
      <c r="P407" s="22">
        <f t="shared" si="119"/>
        <v>167937.39449319951</v>
      </c>
      <c r="Q407" s="22">
        <f t="shared" si="119"/>
        <v>155408.4520773727</v>
      </c>
      <c r="R407" s="22">
        <f t="shared" si="119"/>
        <v>150864.97329100268</v>
      </c>
      <c r="S407" s="22">
        <f t="shared" si="119"/>
        <v>493348.34675142996</v>
      </c>
      <c r="T407" s="22">
        <f t="shared" si="119"/>
        <v>0</v>
      </c>
      <c r="U407" s="22">
        <f t="shared" si="119"/>
        <v>432961.86198646703</v>
      </c>
      <c r="V407" s="22">
        <f>IF(V$363&lt;&gt;0,(V$317/V$363)*V$356,0)</f>
        <v>0</v>
      </c>
      <c r="X407" s="6"/>
      <c r="Y407" s="6"/>
      <c r="Z407" s="6"/>
      <c r="AA407" s="6"/>
      <c r="AB407" s="6"/>
      <c r="AC407" s="17" t="str">
        <f t="shared" si="114"/>
        <v>2.1 GS 0-10 kW</v>
      </c>
      <c r="AD407" s="6"/>
      <c r="AE407" s="22">
        <f t="shared" si="120"/>
        <v>265315.8747323213</v>
      </c>
      <c r="AF407" s="22">
        <f t="shared" si="120"/>
        <v>15915.849568865882</v>
      </c>
      <c r="AG407" s="6"/>
      <c r="AH407" s="6"/>
      <c r="AI407" s="6"/>
    </row>
    <row r="408" spans="1:35" ht="16.5" x14ac:dyDescent="0.3">
      <c r="A408" s="28"/>
      <c r="B408" s="28"/>
      <c r="C408" s="26"/>
      <c r="D408" s="1">
        <f t="shared" si="117"/>
        <v>8</v>
      </c>
      <c r="E408" s="17" t="s">
        <v>240</v>
      </c>
      <c r="F408" s="22">
        <f t="shared" si="118"/>
        <v>0</v>
      </c>
      <c r="G408" s="22">
        <f t="shared" si="119"/>
        <v>0</v>
      </c>
      <c r="H408" s="22">
        <f t="shared" si="119"/>
        <v>0</v>
      </c>
      <c r="I408" s="22">
        <f t="shared" si="119"/>
        <v>0</v>
      </c>
      <c r="J408" s="22">
        <f t="shared" si="119"/>
        <v>0</v>
      </c>
      <c r="K408" s="22">
        <f t="shared" si="119"/>
        <v>0</v>
      </c>
      <c r="L408" s="22">
        <f t="shared" si="119"/>
        <v>0</v>
      </c>
      <c r="M408" s="22">
        <f t="shared" si="119"/>
        <v>0</v>
      </c>
      <c r="N408" s="22">
        <f t="shared" si="119"/>
        <v>0</v>
      </c>
      <c r="O408" s="22">
        <f t="shared" si="119"/>
        <v>0</v>
      </c>
      <c r="P408" s="22">
        <f t="shared" si="119"/>
        <v>0</v>
      </c>
      <c r="Q408" s="22">
        <f t="shared" si="119"/>
        <v>0</v>
      </c>
      <c r="R408" s="22">
        <f t="shared" si="119"/>
        <v>0</v>
      </c>
      <c r="S408" s="22">
        <f t="shared" si="119"/>
        <v>0</v>
      </c>
      <c r="T408" s="22">
        <f t="shared" si="119"/>
        <v>0</v>
      </c>
      <c r="U408" s="22">
        <f t="shared" si="119"/>
        <v>0</v>
      </c>
      <c r="V408" s="22">
        <f>IF(V$363&lt;&gt;0,(V$317/V$363)*V$357,0)</f>
        <v>0</v>
      </c>
      <c r="X408" s="6"/>
      <c r="Y408" s="6"/>
      <c r="Z408" s="6"/>
      <c r="AA408" s="6"/>
      <c r="AB408" s="6"/>
      <c r="AC408" s="17" t="str">
        <f t="shared" si="114"/>
        <v>2.2 GS 10-100 kW</v>
      </c>
      <c r="AD408" s="6"/>
      <c r="AE408" s="22">
        <f t="shared" si="120"/>
        <v>0</v>
      </c>
      <c r="AF408" s="22">
        <f t="shared" si="120"/>
        <v>0</v>
      </c>
      <c r="AG408" s="6"/>
      <c r="AH408" s="6"/>
      <c r="AI408" s="6"/>
    </row>
    <row r="409" spans="1:35" ht="16.5" x14ac:dyDescent="0.3">
      <c r="A409" s="28"/>
      <c r="B409" s="28"/>
      <c r="C409" s="26"/>
      <c r="D409" s="1">
        <f t="shared" si="117"/>
        <v>9</v>
      </c>
      <c r="E409" s="17" t="s">
        <v>242</v>
      </c>
      <c r="F409" s="22">
        <f t="shared" si="118"/>
        <v>6138405.9399010455</v>
      </c>
      <c r="G409" s="22">
        <f t="shared" si="119"/>
        <v>1642711.0184832809</v>
      </c>
      <c r="H409" s="22">
        <f t="shared" si="119"/>
        <v>1986391.9157992757</v>
      </c>
      <c r="I409" s="22">
        <f t="shared" si="119"/>
        <v>254646.8401774526</v>
      </c>
      <c r="J409" s="22">
        <f t="shared" si="119"/>
        <v>664301.30269895168</v>
      </c>
      <c r="K409" s="22">
        <f t="shared" si="119"/>
        <v>430554.71058435546</v>
      </c>
      <c r="L409" s="22">
        <f t="shared" si="119"/>
        <v>748257.08081439417</v>
      </c>
      <c r="M409" s="22">
        <f t="shared" si="119"/>
        <v>7162.8546753462388</v>
      </c>
      <c r="N409" s="22">
        <f t="shared" si="119"/>
        <v>67231.213921916991</v>
      </c>
      <c r="O409" s="22">
        <f t="shared" si="119"/>
        <v>4328.0807979500159</v>
      </c>
      <c r="P409" s="22">
        <f t="shared" si="119"/>
        <v>102978.2696451362</v>
      </c>
      <c r="Q409" s="22">
        <f t="shared" si="119"/>
        <v>4266.5151236102647</v>
      </c>
      <c r="R409" s="22">
        <f t="shared" si="119"/>
        <v>7310.381962140048</v>
      </c>
      <c r="S409" s="22">
        <f t="shared" si="119"/>
        <v>23905.912528725821</v>
      </c>
      <c r="T409" s="22">
        <f t="shared" si="119"/>
        <v>0</v>
      </c>
      <c r="U409" s="22">
        <f t="shared" si="119"/>
        <v>11886.344065714286</v>
      </c>
      <c r="V409" s="22">
        <f>IF(V$363&lt;&gt;0,(V$317/V$363)*V$358,0)</f>
        <v>0</v>
      </c>
      <c r="X409" s="6"/>
      <c r="Y409" s="6"/>
      <c r="Z409" s="6"/>
      <c r="AA409" s="6"/>
      <c r="AB409" s="6"/>
      <c r="AC409" s="17" t="str">
        <f t="shared" si="114"/>
        <v>2.3 GS 110-1,000 kVa</v>
      </c>
      <c r="AD409" s="6"/>
      <c r="AE409" s="22">
        <f t="shared" si="120"/>
        <v>172146.70934750428</v>
      </c>
      <c r="AF409" s="22">
        <f t="shared" si="120"/>
        <v>10326.78927529089</v>
      </c>
      <c r="AG409" s="6"/>
      <c r="AH409" s="6"/>
      <c r="AI409" s="6"/>
    </row>
    <row r="410" spans="1:35" ht="16.5" x14ac:dyDescent="0.3">
      <c r="A410" s="28"/>
      <c r="B410" s="28"/>
      <c r="C410" s="26"/>
      <c r="D410" s="1">
        <f t="shared" si="117"/>
        <v>10</v>
      </c>
      <c r="E410" s="17" t="s">
        <v>244</v>
      </c>
      <c r="F410" s="22">
        <f t="shared" si="118"/>
        <v>3763790.9939086637</v>
      </c>
      <c r="G410" s="22">
        <f t="shared" si="119"/>
        <v>958947.74177741876</v>
      </c>
      <c r="H410" s="22">
        <f t="shared" si="119"/>
        <v>1429362.6956424743</v>
      </c>
      <c r="I410" s="22">
        <f t="shared" si="119"/>
        <v>148652.44683412876</v>
      </c>
      <c r="J410" s="22">
        <f t="shared" si="119"/>
        <v>387792.02605649334</v>
      </c>
      <c r="K410" s="22">
        <f t="shared" si="119"/>
        <v>251340.29222480679</v>
      </c>
      <c r="L410" s="22">
        <f t="shared" si="119"/>
        <v>436801.98759391822</v>
      </c>
      <c r="M410" s="22">
        <f t="shared" si="119"/>
        <v>686.26152578167557</v>
      </c>
      <c r="N410" s="22">
        <f t="shared" si="119"/>
        <v>17468.800013695953</v>
      </c>
      <c r="O410" s="22">
        <f t="shared" si="119"/>
        <v>414.66642375569012</v>
      </c>
      <c r="P410" s="22">
        <f t="shared" si="119"/>
        <v>26757.017957114524</v>
      </c>
      <c r="Q410" s="22">
        <f t="shared" si="119"/>
        <v>408.76791603451642</v>
      </c>
      <c r="R410" s="22">
        <f t="shared" si="119"/>
        <v>700.39587661222026</v>
      </c>
      <c r="S410" s="22">
        <f t="shared" si="119"/>
        <v>2290.3868290994801</v>
      </c>
      <c r="T410" s="22">
        <f t="shared" si="119"/>
        <v>0</v>
      </c>
      <c r="U410" s="22">
        <f t="shared" si="119"/>
        <v>1138.8114074935843</v>
      </c>
      <c r="V410" s="22">
        <f>IF(V$363&lt;&gt;0,(V$317/V$363)*V$359,0)</f>
        <v>0</v>
      </c>
      <c r="X410" s="6"/>
      <c r="Y410" s="6"/>
      <c r="Z410" s="6"/>
      <c r="AA410" s="6"/>
      <c r="AB410" s="6"/>
      <c r="AC410" s="17" t="str">
        <f t="shared" si="114"/>
        <v>2.4 GS Over 1,000 kVa</v>
      </c>
      <c r="AD410" s="6"/>
      <c r="AE410" s="22">
        <f t="shared" si="120"/>
        <v>95311.141990695411</v>
      </c>
      <c r="AF410" s="22">
        <f t="shared" si="120"/>
        <v>5717.5538391405789</v>
      </c>
      <c r="AG410" s="6"/>
      <c r="AH410" s="6"/>
      <c r="AI410" s="6"/>
    </row>
    <row r="411" spans="1:35" ht="16.5" x14ac:dyDescent="0.3">
      <c r="A411" s="28"/>
      <c r="B411" s="28"/>
      <c r="C411" s="26"/>
      <c r="D411" s="1">
        <f t="shared" si="117"/>
        <v>11</v>
      </c>
      <c r="E411" s="17" t="s">
        <v>246</v>
      </c>
      <c r="F411" s="34">
        <f t="shared" si="118"/>
        <v>1128027.8175260699</v>
      </c>
      <c r="G411" s="22">
        <f t="shared" si="119"/>
        <v>102777.85041803124</v>
      </c>
      <c r="H411" s="22">
        <f t="shared" si="119"/>
        <v>76068.656203478022</v>
      </c>
      <c r="I411" s="22">
        <f t="shared" si="119"/>
        <v>15932.23309194532</v>
      </c>
      <c r="J411" s="22">
        <f t="shared" si="119"/>
        <v>41562.672407429905</v>
      </c>
      <c r="K411" s="22">
        <f t="shared" si="119"/>
        <v>26938.084144632525</v>
      </c>
      <c r="L411" s="22">
        <f t="shared" si="119"/>
        <v>46815.449254842395</v>
      </c>
      <c r="M411" s="22">
        <f t="shared" si="119"/>
        <v>90629.412748542527</v>
      </c>
      <c r="N411" s="22">
        <f t="shared" si="119"/>
        <v>4536.290369075542</v>
      </c>
      <c r="O411" s="22">
        <f t="shared" si="119"/>
        <v>54761.884587235822</v>
      </c>
      <c r="P411" s="22">
        <f t="shared" si="119"/>
        <v>6948.2507538512673</v>
      </c>
      <c r="Q411" s="22">
        <f t="shared" si="119"/>
        <v>53982.912911308318</v>
      </c>
      <c r="R411" s="22">
        <f t="shared" si="119"/>
        <v>0</v>
      </c>
      <c r="S411" s="22">
        <f t="shared" si="119"/>
        <v>0</v>
      </c>
      <c r="T411" s="22">
        <f t="shared" si="119"/>
        <v>427156.14576489996</v>
      </c>
      <c r="U411" s="22">
        <f t="shared" si="119"/>
        <v>150394.28150212145</v>
      </c>
      <c r="V411" s="34">
        <f>IF(V$363&lt;&gt;0,(V$317/V$363)*V$360,0)</f>
        <v>0</v>
      </c>
      <c r="X411" s="6"/>
      <c r="Y411" s="6"/>
      <c r="Z411" s="6"/>
      <c r="AA411" s="6"/>
      <c r="AB411" s="6"/>
      <c r="AC411" s="17" t="str">
        <f t="shared" si="114"/>
        <v>4.1 Street and Area Lighting</v>
      </c>
      <c r="AD411" s="6"/>
      <c r="AE411" s="22">
        <f t="shared" si="120"/>
        <v>27852.848219392701</v>
      </c>
      <c r="AF411" s="22">
        <f t="shared" si="120"/>
        <v>1670.8451492831248</v>
      </c>
      <c r="AG411" s="6"/>
      <c r="AH411" s="6"/>
      <c r="AI411" s="6"/>
    </row>
    <row r="412" spans="1:35" ht="16.5" x14ac:dyDescent="0.3">
      <c r="A412" s="28">
        <f>SUM(G412:AF412)-F412</f>
        <v>0</v>
      </c>
      <c r="B412" s="28"/>
      <c r="C412" s="29"/>
      <c r="D412" s="1">
        <f t="shared" si="117"/>
        <v>12</v>
      </c>
      <c r="E412" s="20" t="s">
        <v>247</v>
      </c>
      <c r="F412" s="30">
        <f>SUM(F404:F411)</f>
        <v>67350336.855972171</v>
      </c>
      <c r="G412" s="30">
        <f>SUM(G404:G411)</f>
        <v>16869693.045707352</v>
      </c>
      <c r="H412" s="30">
        <f>SUM(H404:H411)</f>
        <v>15531403.945876976</v>
      </c>
      <c r="I412" s="30">
        <f>SUM(I404:I411)</f>
        <v>2615075.9205470351</v>
      </c>
      <c r="J412" s="30">
        <f t="shared" ref="J412:V412" si="121">SUM(J404:J411)</f>
        <v>6821990.5633444181</v>
      </c>
      <c r="K412" s="30">
        <f t="shared" si="121"/>
        <v>4421548.1148033515</v>
      </c>
      <c r="L412" s="30">
        <f t="shared" si="121"/>
        <v>7684167.8972060429</v>
      </c>
      <c r="M412" s="30">
        <f t="shared" si="121"/>
        <v>2092926.088252665</v>
      </c>
      <c r="N412" s="30">
        <f t="shared" si="121"/>
        <v>714446.07547959115</v>
      </c>
      <c r="O412" s="30">
        <f t="shared" si="121"/>
        <v>1264628.9258489159</v>
      </c>
      <c r="P412" s="30">
        <f t="shared" si="121"/>
        <v>1094319.3840452505</v>
      </c>
      <c r="Q412" s="30">
        <f t="shared" si="121"/>
        <v>1246639.9519262661</v>
      </c>
      <c r="R412" s="30">
        <f t="shared" si="121"/>
        <v>369013.89970818994</v>
      </c>
      <c r="S412" s="30">
        <f t="shared" si="121"/>
        <v>1206724.0882890259</v>
      </c>
      <c r="T412" s="30">
        <f t="shared" si="121"/>
        <v>427156.14576489996</v>
      </c>
      <c r="U412" s="30">
        <f t="shared" si="121"/>
        <v>3473090.0900035584</v>
      </c>
      <c r="V412" s="30">
        <f t="shared" si="121"/>
        <v>0</v>
      </c>
      <c r="X412" s="6"/>
      <c r="Y412" s="6"/>
      <c r="Z412" s="6"/>
      <c r="AA412" s="6"/>
      <c r="AB412" s="6"/>
      <c r="AC412" s="20" t="str">
        <f t="shared" si="114"/>
        <v xml:space="preserve">    Subtotal Rural</v>
      </c>
      <c r="AD412" s="6"/>
      <c r="AE412" s="30">
        <f>SUM(AE404:AE411)</f>
        <v>1431631.5682524573</v>
      </c>
      <c r="AF412" s="30">
        <f>SUM(AF404:AF411)</f>
        <v>85881.15091618328</v>
      </c>
      <c r="AG412" s="6"/>
      <c r="AH412" s="6"/>
      <c r="AI412" s="6"/>
    </row>
    <row r="413" spans="1:35" ht="17.25" thickBot="1" x14ac:dyDescent="0.35">
      <c r="A413" s="28">
        <f>SUM(G413:AF413)-F413</f>
        <v>0</v>
      </c>
      <c r="B413" s="28"/>
      <c r="C413" s="29"/>
      <c r="D413" s="1">
        <f t="shared" si="117"/>
        <v>13</v>
      </c>
      <c r="E413" s="20" t="s">
        <v>248</v>
      </c>
      <c r="F413" s="55">
        <f>SUM(F412,F400:F402)</f>
        <v>584578607.24285722</v>
      </c>
      <c r="G413" s="55">
        <f>SUM(G412,G400:G402)</f>
        <v>268619415.35568029</v>
      </c>
      <c r="H413" s="55">
        <f>SUM(H412,H400:H402)</f>
        <v>238529487.93328184</v>
      </c>
      <c r="I413" s="55">
        <f>SUM(I412,I400:I402)</f>
        <v>42635522.894446135</v>
      </c>
      <c r="J413" s="55">
        <f t="shared" ref="J413:V413" si="122">SUM(J412,J400:J402)</f>
        <v>6821990.5633444181</v>
      </c>
      <c r="K413" s="55">
        <f t="shared" si="122"/>
        <v>4421548.1148033515</v>
      </c>
      <c r="L413" s="55">
        <f t="shared" si="122"/>
        <v>7684167.8972060429</v>
      </c>
      <c r="M413" s="55">
        <f t="shared" si="122"/>
        <v>2092926.088252665</v>
      </c>
      <c r="N413" s="55">
        <f t="shared" si="122"/>
        <v>714446.07547959115</v>
      </c>
      <c r="O413" s="55">
        <f t="shared" si="122"/>
        <v>1264628.9258489159</v>
      </c>
      <c r="P413" s="55">
        <f t="shared" si="122"/>
        <v>1094319.3840452505</v>
      </c>
      <c r="Q413" s="55">
        <f t="shared" si="122"/>
        <v>1246639.9519262661</v>
      </c>
      <c r="R413" s="55">
        <f t="shared" si="122"/>
        <v>369013.89970818994</v>
      </c>
      <c r="S413" s="55">
        <f t="shared" si="122"/>
        <v>1206724.0882890259</v>
      </c>
      <c r="T413" s="55">
        <f t="shared" si="122"/>
        <v>427156.14576489996</v>
      </c>
      <c r="U413" s="55">
        <f t="shared" si="122"/>
        <v>3473090.0900035584</v>
      </c>
      <c r="V413" s="55">
        <f t="shared" si="122"/>
        <v>1571494.6295435708</v>
      </c>
      <c r="X413" s="6"/>
      <c r="Y413" s="6"/>
      <c r="Z413" s="6"/>
      <c r="AA413" s="6"/>
      <c r="AB413" s="6"/>
      <c r="AC413" s="20" t="str">
        <f t="shared" si="114"/>
        <v xml:space="preserve">      Total</v>
      </c>
      <c r="AD413" s="6"/>
      <c r="AE413" s="55">
        <f>SUM(AE412,AE400:AE402)</f>
        <v>1431631.5682524573</v>
      </c>
      <c r="AF413" s="55">
        <f>SUM(AF412,AF400:AF402)</f>
        <v>974403.63698063197</v>
      </c>
      <c r="AG413" s="6"/>
      <c r="AH413" s="6"/>
      <c r="AI413" s="6"/>
    </row>
    <row r="414" spans="1:35" ht="17.25" thickTop="1" x14ac:dyDescent="0.3">
      <c r="A414" s="28"/>
      <c r="B414" s="28"/>
      <c r="C414" s="26"/>
      <c r="D414" s="1"/>
      <c r="E414" s="20" t="s">
        <v>255</v>
      </c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X414" s="6"/>
      <c r="Y414" s="6"/>
      <c r="Z414" s="6"/>
      <c r="AA414" s="6"/>
      <c r="AB414" s="6"/>
      <c r="AC414" s="20" t="str">
        <f t="shared" si="114"/>
        <v>Allocated Return on Debt</v>
      </c>
      <c r="AD414" s="6"/>
      <c r="AE414" s="6"/>
      <c r="AF414" s="6"/>
      <c r="AG414" s="6"/>
      <c r="AH414" s="6"/>
      <c r="AI414" s="6"/>
    </row>
    <row r="415" spans="1:35" ht="16.5" x14ac:dyDescent="0.3">
      <c r="A415" s="28"/>
      <c r="B415" s="28"/>
      <c r="C415" s="26"/>
      <c r="D415" s="1">
        <v>14</v>
      </c>
      <c r="E415" s="6" t="s">
        <v>224</v>
      </c>
      <c r="F415" s="22">
        <f>SUM(G415:AF415)</f>
        <v>57498957.907749094</v>
      </c>
      <c r="G415" s="22">
        <f>G366*G$319</f>
        <v>23242527.014702965</v>
      </c>
      <c r="H415" s="22">
        <f t="shared" ref="G415:U417" si="123">H366*H$319</f>
        <v>15167953.207185796</v>
      </c>
      <c r="I415" s="22">
        <f t="shared" si="123"/>
        <v>18215993.031328231</v>
      </c>
      <c r="J415" s="22">
        <f t="shared" si="123"/>
        <v>0</v>
      </c>
      <c r="K415" s="22">
        <f t="shared" si="123"/>
        <v>0</v>
      </c>
      <c r="L415" s="22">
        <f t="shared" si="123"/>
        <v>0</v>
      </c>
      <c r="M415" s="22">
        <f t="shared" si="123"/>
        <v>0</v>
      </c>
      <c r="N415" s="22">
        <f t="shared" si="123"/>
        <v>0</v>
      </c>
      <c r="O415" s="22">
        <f t="shared" si="123"/>
        <v>0</v>
      </c>
      <c r="P415" s="22">
        <f t="shared" si="123"/>
        <v>0</v>
      </c>
      <c r="Q415" s="22">
        <f t="shared" si="123"/>
        <v>0</v>
      </c>
      <c r="R415" s="22">
        <f t="shared" si="123"/>
        <v>0</v>
      </c>
      <c r="S415" s="22">
        <f t="shared" si="123"/>
        <v>0</v>
      </c>
      <c r="T415" s="22">
        <f t="shared" si="123"/>
        <v>0</v>
      </c>
      <c r="U415" s="22">
        <f t="shared" si="123"/>
        <v>0</v>
      </c>
      <c r="V415" s="22">
        <f>S545</f>
        <v>872484.65453210392</v>
      </c>
      <c r="X415" s="6"/>
      <c r="Y415" s="6" t="s">
        <v>39</v>
      </c>
      <c r="Z415" s="6"/>
      <c r="AA415" s="6"/>
      <c r="AB415" s="6"/>
      <c r="AC415" s="6" t="str">
        <f t="shared" si="114"/>
        <v>Newfoundland Power</v>
      </c>
      <c r="AD415" s="6"/>
      <c r="AE415" s="22">
        <f t="shared" ref="AE415:AF417" si="124">AE366*AE$319</f>
        <v>0</v>
      </c>
      <c r="AF415" s="22">
        <f t="shared" si="124"/>
        <v>0</v>
      </c>
      <c r="AG415" s="6"/>
      <c r="AH415" s="6"/>
      <c r="AI415" s="6"/>
    </row>
    <row r="416" spans="1:35" ht="16.5" x14ac:dyDescent="0.3">
      <c r="A416" s="28"/>
      <c r="B416" s="28"/>
      <c r="C416" s="26"/>
      <c r="D416" s="1">
        <v>15</v>
      </c>
      <c r="E416" s="17" t="s">
        <v>227</v>
      </c>
      <c r="F416" s="22">
        <f>SUM(G416:AF416)</f>
        <v>3949631.5776536711</v>
      </c>
      <c r="G416" s="22">
        <f t="shared" si="123"/>
        <v>1304695.0922406025</v>
      </c>
      <c r="H416" s="22">
        <f t="shared" si="123"/>
        <v>1546838.6304732147</v>
      </c>
      <c r="I416" s="22">
        <f t="shared" si="123"/>
        <v>995719.3319656403</v>
      </c>
      <c r="J416" s="22">
        <f t="shared" si="123"/>
        <v>0</v>
      </c>
      <c r="K416" s="22">
        <f t="shared" si="123"/>
        <v>0</v>
      </c>
      <c r="L416" s="22">
        <f t="shared" si="123"/>
        <v>0</v>
      </c>
      <c r="M416" s="22">
        <f t="shared" si="123"/>
        <v>0</v>
      </c>
      <c r="N416" s="22">
        <f t="shared" si="123"/>
        <v>0</v>
      </c>
      <c r="O416" s="22">
        <f t="shared" si="123"/>
        <v>0</v>
      </c>
      <c r="P416" s="22">
        <f t="shared" si="123"/>
        <v>0</v>
      </c>
      <c r="Q416" s="22">
        <f t="shared" si="123"/>
        <v>0</v>
      </c>
      <c r="R416" s="22">
        <f t="shared" si="123"/>
        <v>0</v>
      </c>
      <c r="S416" s="22">
        <f t="shared" si="123"/>
        <v>0</v>
      </c>
      <c r="T416" s="22">
        <f t="shared" si="123"/>
        <v>0</v>
      </c>
      <c r="U416" s="22">
        <f t="shared" si="123"/>
        <v>0</v>
      </c>
      <c r="V416" s="22">
        <f>S553</f>
        <v>102378.52297421409</v>
      </c>
      <c r="X416" s="6"/>
      <c r="Y416" s="6"/>
      <c r="Z416" s="6"/>
      <c r="AA416" s="6"/>
      <c r="AB416" s="6"/>
      <c r="AC416" s="17" t="str">
        <f t="shared" si="114"/>
        <v>Industrial - Firm</v>
      </c>
      <c r="AD416" s="6"/>
      <c r="AE416" s="22">
        <f t="shared" si="124"/>
        <v>0</v>
      </c>
      <c r="AF416" s="22">
        <f t="shared" si="124"/>
        <v>0</v>
      </c>
      <c r="AG416" s="6"/>
      <c r="AH416" s="6"/>
      <c r="AI416" s="6"/>
    </row>
    <row r="417" spans="1:35" ht="16.5" x14ac:dyDescent="0.3">
      <c r="A417" s="28"/>
      <c r="B417" s="28"/>
      <c r="C417" s="26"/>
      <c r="D417" s="1">
        <v>16</v>
      </c>
      <c r="E417" s="17" t="s">
        <v>229</v>
      </c>
      <c r="F417" s="22">
        <f>SUM(G417:AF417)</f>
        <v>0</v>
      </c>
      <c r="G417" s="22">
        <f t="shared" si="123"/>
        <v>0</v>
      </c>
      <c r="H417" s="22">
        <f t="shared" si="123"/>
        <v>0</v>
      </c>
      <c r="I417" s="22">
        <f t="shared" si="123"/>
        <v>0</v>
      </c>
      <c r="J417" s="22">
        <f t="shared" si="123"/>
        <v>0</v>
      </c>
      <c r="K417" s="22">
        <f t="shared" si="123"/>
        <v>0</v>
      </c>
      <c r="L417" s="22">
        <f t="shared" si="123"/>
        <v>0</v>
      </c>
      <c r="M417" s="22">
        <f t="shared" si="123"/>
        <v>0</v>
      </c>
      <c r="N417" s="22">
        <f t="shared" si="123"/>
        <v>0</v>
      </c>
      <c r="O417" s="22">
        <f t="shared" si="123"/>
        <v>0</v>
      </c>
      <c r="P417" s="22">
        <f t="shared" si="123"/>
        <v>0</v>
      </c>
      <c r="Q417" s="22">
        <f t="shared" si="123"/>
        <v>0</v>
      </c>
      <c r="R417" s="22">
        <f t="shared" si="123"/>
        <v>0</v>
      </c>
      <c r="S417" s="22">
        <f t="shared" si="123"/>
        <v>0</v>
      </c>
      <c r="T417" s="22">
        <f t="shared" si="123"/>
        <v>0</v>
      </c>
      <c r="U417" s="22">
        <f t="shared" si="123"/>
        <v>0</v>
      </c>
      <c r="V417" s="22">
        <f>IF(V$363&lt;&gt;0,(SUM(V$319:V$320)/V$363)*V$353,0)</f>
        <v>0</v>
      </c>
      <c r="X417" s="6"/>
      <c r="Y417" s="6"/>
      <c r="Z417" s="6"/>
      <c r="AA417" s="6"/>
      <c r="AB417" s="6"/>
      <c r="AC417" s="17" t="str">
        <f t="shared" si="114"/>
        <v>Industrial - Non-Firm</v>
      </c>
      <c r="AD417" s="6"/>
      <c r="AE417" s="22">
        <f t="shared" si="124"/>
        <v>0</v>
      </c>
      <c r="AF417" s="22">
        <f t="shared" si="124"/>
        <v>0</v>
      </c>
      <c r="AG417" s="6"/>
      <c r="AH417" s="6"/>
      <c r="AI417" s="6"/>
    </row>
    <row r="418" spans="1:35" ht="16.5" x14ac:dyDescent="0.3">
      <c r="A418" s="28"/>
      <c r="B418" s="28"/>
      <c r="C418" s="26"/>
      <c r="D418" s="1"/>
      <c r="E418" s="20" t="s">
        <v>230</v>
      </c>
      <c r="F418" s="22"/>
      <c r="G418" s="22" t="s">
        <v>39</v>
      </c>
      <c r="H418" s="22" t="s">
        <v>39</v>
      </c>
      <c r="I418" s="22" t="s">
        <v>39</v>
      </c>
      <c r="J418" s="22" t="s">
        <v>39</v>
      </c>
      <c r="K418" s="22" t="s">
        <v>39</v>
      </c>
      <c r="L418" s="22" t="s">
        <v>39</v>
      </c>
      <c r="M418" s="22" t="s">
        <v>39</v>
      </c>
      <c r="N418" s="22" t="s">
        <v>39</v>
      </c>
      <c r="O418" s="22" t="s">
        <v>39</v>
      </c>
      <c r="P418" s="22" t="s">
        <v>39</v>
      </c>
      <c r="Q418" s="22" t="s">
        <v>39</v>
      </c>
      <c r="R418" s="22" t="s">
        <v>39</v>
      </c>
      <c r="S418" s="22" t="s">
        <v>39</v>
      </c>
      <c r="T418" s="22" t="s">
        <v>39</v>
      </c>
      <c r="U418" s="22" t="s">
        <v>39</v>
      </c>
      <c r="V418" s="22"/>
      <c r="X418" s="6"/>
      <c r="Y418" s="6"/>
      <c r="Z418" s="1"/>
      <c r="AA418" s="6"/>
      <c r="AB418" s="6"/>
      <c r="AC418" s="20" t="str">
        <f t="shared" si="114"/>
        <v>Rural</v>
      </c>
      <c r="AD418" s="6"/>
      <c r="AE418" s="22" t="s">
        <v>39</v>
      </c>
      <c r="AF418" s="22" t="s">
        <v>39</v>
      </c>
      <c r="AG418" s="6"/>
      <c r="AH418" s="6"/>
      <c r="AI418" s="6"/>
    </row>
    <row r="419" spans="1:35" ht="16.5" x14ac:dyDescent="0.3">
      <c r="A419" s="28"/>
      <c r="B419" s="28"/>
      <c r="C419" s="26"/>
      <c r="D419" s="1">
        <f t="shared" ref="D419:D428" si="125">MAX(D416:D418)+NoOne</f>
        <v>17</v>
      </c>
      <c r="E419" s="17" t="s">
        <v>232</v>
      </c>
      <c r="F419" s="22">
        <f t="shared" ref="F419:F426" si="126">SUM(G419:AF419)</f>
        <v>4045898.7545037176</v>
      </c>
      <c r="G419" s="22">
        <f t="shared" ref="G419:U426" si="127">G370*G$319</f>
        <v>526157.553597513</v>
      </c>
      <c r="H419" s="22">
        <f t="shared" si="127"/>
        <v>298743.49561488454</v>
      </c>
      <c r="I419" s="22">
        <f t="shared" si="127"/>
        <v>401553.78133374354</v>
      </c>
      <c r="J419" s="22">
        <f t="shared" si="127"/>
        <v>602231.45017898222</v>
      </c>
      <c r="K419" s="22">
        <f t="shared" si="127"/>
        <v>707731.52261736093</v>
      </c>
      <c r="L419" s="22">
        <f t="shared" si="127"/>
        <v>629890.55496846628</v>
      </c>
      <c r="M419" s="22">
        <f t="shared" si="127"/>
        <v>255038.17383848212</v>
      </c>
      <c r="N419" s="22">
        <f t="shared" si="127"/>
        <v>63904.670488577161</v>
      </c>
      <c r="O419" s="22">
        <f t="shared" si="127"/>
        <v>159854.57661086626</v>
      </c>
      <c r="P419" s="22">
        <f t="shared" si="127"/>
        <v>91029.562774823731</v>
      </c>
      <c r="Q419" s="22">
        <f t="shared" si="127"/>
        <v>147018.31352923022</v>
      </c>
      <c r="R419" s="22">
        <f t="shared" si="127"/>
        <v>22164.952014625476</v>
      </c>
      <c r="S419" s="22">
        <f t="shared" si="127"/>
        <v>83217.053284199821</v>
      </c>
      <c r="T419" s="22">
        <f t="shared" si="127"/>
        <v>0</v>
      </c>
      <c r="U419" s="22">
        <f t="shared" si="127"/>
        <v>57363.093651961542</v>
      </c>
      <c r="V419" s="22">
        <f>IF(V$363&lt;&gt;0,(SUM(V$319:V$320)/V$363)*V$353,0)</f>
        <v>0</v>
      </c>
      <c r="X419" s="6"/>
      <c r="Y419" s="6"/>
      <c r="Z419" s="6"/>
      <c r="AA419" s="6"/>
      <c r="AB419" s="6"/>
      <c r="AC419" s="17" t="str">
        <f t="shared" si="114"/>
        <v>1.1 Domestic</v>
      </c>
      <c r="AD419" s="6"/>
      <c r="AE419" s="22">
        <f t="shared" ref="AE419:AF426" si="128">AE370*AE$319</f>
        <v>0</v>
      </c>
      <c r="AF419" s="22">
        <f t="shared" si="128"/>
        <v>0</v>
      </c>
      <c r="AG419" s="6"/>
      <c r="AH419" s="6"/>
      <c r="AI419" s="6"/>
    </row>
    <row r="420" spans="1:35" ht="16.5" x14ac:dyDescent="0.3">
      <c r="A420" s="28"/>
      <c r="B420" s="28"/>
      <c r="C420" s="26"/>
      <c r="D420" s="1">
        <f t="shared" si="125"/>
        <v>18</v>
      </c>
      <c r="E420" s="17" t="s">
        <v>234</v>
      </c>
      <c r="F420" s="22">
        <f t="shared" si="126"/>
        <v>4460358.3876528656</v>
      </c>
      <c r="G420" s="22">
        <f t="shared" si="127"/>
        <v>610712.83008163667</v>
      </c>
      <c r="H420" s="22">
        <f t="shared" si="127"/>
        <v>402766.91394062445</v>
      </c>
      <c r="I420" s="22">
        <f t="shared" si="127"/>
        <v>466084.81537814479</v>
      </c>
      <c r="J420" s="22">
        <f t="shared" si="127"/>
        <v>699012.0559673988</v>
      </c>
      <c r="K420" s="22">
        <f t="shared" si="127"/>
        <v>821466.34246795182</v>
      </c>
      <c r="L420" s="22">
        <f t="shared" si="127"/>
        <v>731116.071291356</v>
      </c>
      <c r="M420" s="22">
        <f t="shared" si="127"/>
        <v>193346.14274981164</v>
      </c>
      <c r="N420" s="22">
        <f t="shared" si="127"/>
        <v>74174.364508634666</v>
      </c>
      <c r="O420" s="22">
        <f t="shared" si="127"/>
        <v>121186.82204880078</v>
      </c>
      <c r="P420" s="22">
        <f t="shared" si="127"/>
        <v>105658.31759555564</v>
      </c>
      <c r="Q420" s="22">
        <f t="shared" si="127"/>
        <v>111455.56528514503</v>
      </c>
      <c r="R420" s="22">
        <f t="shared" si="127"/>
        <v>16803.398141395697</v>
      </c>
      <c r="S420" s="22">
        <f t="shared" si="127"/>
        <v>63087.403824085268</v>
      </c>
      <c r="T420" s="22">
        <f t="shared" si="127"/>
        <v>0</v>
      </c>
      <c r="U420" s="22">
        <f t="shared" si="127"/>
        <v>43487.344372325038</v>
      </c>
      <c r="V420" s="22">
        <f>IF(V$363&lt;&gt;0,(SUM(V$319:V$320)/V$363)*V$354,0)</f>
        <v>0</v>
      </c>
      <c r="X420" s="6"/>
      <c r="Y420" s="6"/>
      <c r="Z420" s="6"/>
      <c r="AA420" s="6"/>
      <c r="AB420" s="6"/>
      <c r="AC420" s="17" t="str">
        <f t="shared" si="114"/>
        <v xml:space="preserve">1.12 Domestic All Electric </v>
      </c>
      <c r="AD420" s="6"/>
      <c r="AE420" s="22">
        <f t="shared" si="128"/>
        <v>0</v>
      </c>
      <c r="AF420" s="22">
        <f t="shared" si="128"/>
        <v>0</v>
      </c>
      <c r="AG420" s="6"/>
      <c r="AH420" s="6"/>
      <c r="AI420" s="6"/>
    </row>
    <row r="421" spans="1:35" ht="16.5" x14ac:dyDescent="0.3">
      <c r="A421" s="28"/>
      <c r="B421" s="28"/>
      <c r="C421" s="26"/>
      <c r="D421" s="1">
        <f t="shared" si="125"/>
        <v>19</v>
      </c>
      <c r="E421" s="17" t="s">
        <v>236</v>
      </c>
      <c r="F421" s="22">
        <f t="shared" si="126"/>
        <v>13167.828187534056</v>
      </c>
      <c r="G421" s="22">
        <f t="shared" si="127"/>
        <v>2116.4014376240752</v>
      </c>
      <c r="H421" s="22">
        <f t="shared" si="127"/>
        <v>947.16527296783477</v>
      </c>
      <c r="I421" s="22">
        <f t="shared" si="127"/>
        <v>1615.1987067132648</v>
      </c>
      <c r="J421" s="22">
        <f t="shared" si="127"/>
        <v>2422.3989529877845</v>
      </c>
      <c r="K421" s="22">
        <f t="shared" si="127"/>
        <v>2846.759495664377</v>
      </c>
      <c r="L421" s="22">
        <f t="shared" si="127"/>
        <v>2533.6541630282313</v>
      </c>
      <c r="M421" s="22">
        <f t="shared" si="127"/>
        <v>22.189004903540457</v>
      </c>
      <c r="N421" s="22">
        <f t="shared" si="127"/>
        <v>257.04836045435957</v>
      </c>
      <c r="O421" s="22">
        <f t="shared" si="127"/>
        <v>13.907776749210296</v>
      </c>
      <c r="P421" s="22">
        <f t="shared" si="127"/>
        <v>366.15476905288432</v>
      </c>
      <c r="Q421" s="22">
        <f t="shared" si="127"/>
        <v>12.790987445966858</v>
      </c>
      <c r="R421" s="22">
        <f t="shared" si="127"/>
        <v>1.9284102514423445</v>
      </c>
      <c r="S421" s="22">
        <f t="shared" si="127"/>
        <v>7.2401067479047434</v>
      </c>
      <c r="T421" s="22">
        <f t="shared" si="127"/>
        <v>0</v>
      </c>
      <c r="U421" s="22">
        <f t="shared" si="127"/>
        <v>4.9907429431788488</v>
      </c>
      <c r="V421" s="22">
        <f>IF(V$363&lt;&gt;0,(SUM(V$319:V$320)/V$363)*V$355,0)</f>
        <v>0</v>
      </c>
      <c r="X421" s="6"/>
      <c r="Y421" s="6"/>
      <c r="Z421" s="6"/>
      <c r="AA421" s="6"/>
      <c r="AB421" s="6"/>
      <c r="AC421" s="17" t="str">
        <f t="shared" si="114"/>
        <v>1.3 Special</v>
      </c>
      <c r="AD421" s="6"/>
      <c r="AE421" s="22">
        <f t="shared" si="128"/>
        <v>0</v>
      </c>
      <c r="AF421" s="22">
        <f t="shared" si="128"/>
        <v>0</v>
      </c>
      <c r="AG421" s="6"/>
      <c r="AH421" s="6"/>
      <c r="AI421" s="6"/>
    </row>
    <row r="422" spans="1:35" ht="16.5" x14ac:dyDescent="0.3">
      <c r="A422" s="28"/>
      <c r="B422" s="28"/>
      <c r="C422" s="26"/>
      <c r="D422" s="1">
        <f t="shared" si="125"/>
        <v>20</v>
      </c>
      <c r="E422" s="17" t="s">
        <v>238</v>
      </c>
      <c r="F422" s="22">
        <f t="shared" si="126"/>
        <v>1888269.2083384129</v>
      </c>
      <c r="G422" s="22">
        <f t="shared" si="127"/>
        <v>242217.10548503351</v>
      </c>
      <c r="H422" s="22">
        <f t="shared" si="127"/>
        <v>199967.59964392512</v>
      </c>
      <c r="I422" s="22">
        <f t="shared" si="127"/>
        <v>184855.64627212673</v>
      </c>
      <c r="J422" s="22">
        <f t="shared" si="127"/>
        <v>277237.79255289724</v>
      </c>
      <c r="K422" s="22">
        <f t="shared" si="127"/>
        <v>325804.84627998876</v>
      </c>
      <c r="L422" s="22">
        <f t="shared" si="127"/>
        <v>289970.68644866912</v>
      </c>
      <c r="M422" s="22">
        <f t="shared" si="127"/>
        <v>67487.858414118295</v>
      </c>
      <c r="N422" s="22">
        <f t="shared" si="127"/>
        <v>29418.572834095608</v>
      </c>
      <c r="O422" s="22">
        <f t="shared" si="127"/>
        <v>42300.502982723112</v>
      </c>
      <c r="P422" s="22">
        <f t="shared" si="127"/>
        <v>41905.541521033432</v>
      </c>
      <c r="Q422" s="22">
        <f t="shared" si="127"/>
        <v>38903.788316908198</v>
      </c>
      <c r="R422" s="22">
        <f t="shared" si="127"/>
        <v>27978.023385169377</v>
      </c>
      <c r="S422" s="22">
        <f t="shared" si="127"/>
        <v>105041.89954004597</v>
      </c>
      <c r="T422" s="22">
        <f t="shared" si="127"/>
        <v>0</v>
      </c>
      <c r="U422" s="22">
        <f t="shared" si="127"/>
        <v>15179.344661678468</v>
      </c>
      <c r="V422" s="22">
        <f>IF(V$363&lt;&gt;0,(SUM(V$319:V$320)/V$363)*V$356,0)</f>
        <v>0</v>
      </c>
      <c r="X422" s="6"/>
      <c r="Y422" s="6"/>
      <c r="Z422" s="6"/>
      <c r="AA422" s="6"/>
      <c r="AB422" s="6"/>
      <c r="AC422" s="17" t="str">
        <f t="shared" si="114"/>
        <v>2.1 GS 0-10 kW</v>
      </c>
      <c r="AD422" s="6"/>
      <c r="AE422" s="22">
        <f t="shared" si="128"/>
        <v>0</v>
      </c>
      <c r="AF422" s="22">
        <f t="shared" si="128"/>
        <v>0</v>
      </c>
      <c r="AG422" s="6"/>
      <c r="AH422" s="6"/>
      <c r="AI422" s="6"/>
    </row>
    <row r="423" spans="1:35" ht="16.5" x14ac:dyDescent="0.3">
      <c r="A423" s="28"/>
      <c r="B423" s="28"/>
      <c r="C423" s="26"/>
      <c r="D423" s="1">
        <f t="shared" si="125"/>
        <v>21</v>
      </c>
      <c r="E423" s="17" t="s">
        <v>240</v>
      </c>
      <c r="F423" s="22">
        <f t="shared" si="126"/>
        <v>0</v>
      </c>
      <c r="G423" s="22">
        <f t="shared" si="127"/>
        <v>0</v>
      </c>
      <c r="H423" s="22">
        <f t="shared" si="127"/>
        <v>0</v>
      </c>
      <c r="I423" s="22">
        <f t="shared" si="127"/>
        <v>0</v>
      </c>
      <c r="J423" s="22">
        <f t="shared" si="127"/>
        <v>0</v>
      </c>
      <c r="K423" s="22">
        <f t="shared" si="127"/>
        <v>0</v>
      </c>
      <c r="L423" s="22">
        <f t="shared" si="127"/>
        <v>0</v>
      </c>
      <c r="M423" s="22">
        <f t="shared" si="127"/>
        <v>0</v>
      </c>
      <c r="N423" s="22">
        <f t="shared" si="127"/>
        <v>0</v>
      </c>
      <c r="O423" s="22">
        <f t="shared" si="127"/>
        <v>0</v>
      </c>
      <c r="P423" s="22">
        <f t="shared" si="127"/>
        <v>0</v>
      </c>
      <c r="Q423" s="22">
        <f t="shared" si="127"/>
        <v>0</v>
      </c>
      <c r="R423" s="22">
        <f t="shared" si="127"/>
        <v>0</v>
      </c>
      <c r="S423" s="22">
        <f t="shared" si="127"/>
        <v>0</v>
      </c>
      <c r="T423" s="22">
        <f t="shared" si="127"/>
        <v>0</v>
      </c>
      <c r="U423" s="22">
        <f t="shared" si="127"/>
        <v>0</v>
      </c>
      <c r="V423" s="22">
        <f>IF(V$363&lt;&gt;0,(SUM(V$319:V$320)/V$363)*V$357,0)</f>
        <v>0</v>
      </c>
      <c r="X423" s="6"/>
      <c r="Y423" s="6"/>
      <c r="Z423" s="6"/>
      <c r="AA423" s="6"/>
      <c r="AB423" s="6"/>
      <c r="AC423" s="17" t="str">
        <f t="shared" si="114"/>
        <v>2.2 GS 10-100 kW</v>
      </c>
      <c r="AD423" s="6"/>
      <c r="AE423" s="22">
        <f t="shared" si="128"/>
        <v>0</v>
      </c>
      <c r="AF423" s="22">
        <f t="shared" si="128"/>
        <v>0</v>
      </c>
      <c r="AG423" s="6"/>
      <c r="AH423" s="6"/>
      <c r="AI423" s="6"/>
    </row>
    <row r="424" spans="1:35" ht="16.5" x14ac:dyDescent="0.3">
      <c r="A424" s="28"/>
      <c r="B424" s="28"/>
      <c r="C424" s="26"/>
      <c r="D424" s="1">
        <f t="shared" si="125"/>
        <v>22</v>
      </c>
      <c r="E424" s="17" t="s">
        <v>242</v>
      </c>
      <c r="F424" s="22">
        <f t="shared" si="126"/>
        <v>1076525.0330986895</v>
      </c>
      <c r="G424" s="22">
        <f t="shared" si="127"/>
        <v>160174.92237223877</v>
      </c>
      <c r="H424" s="22">
        <f t="shared" si="127"/>
        <v>148889.742848503</v>
      </c>
      <c r="I424" s="22">
        <f t="shared" si="127"/>
        <v>122242.55893247585</v>
      </c>
      <c r="J424" s="22">
        <f t="shared" si="127"/>
        <v>183333.6329070905</v>
      </c>
      <c r="K424" s="22">
        <f t="shared" si="127"/>
        <v>215450.37398120886</v>
      </c>
      <c r="L424" s="22">
        <f t="shared" si="127"/>
        <v>191753.7248210996</v>
      </c>
      <c r="M424" s="22">
        <f t="shared" si="127"/>
        <v>1852.7819094456281</v>
      </c>
      <c r="N424" s="22">
        <f t="shared" si="127"/>
        <v>18039.304081303064</v>
      </c>
      <c r="O424" s="22">
        <f t="shared" si="127"/>
        <v>1161.2993585590596</v>
      </c>
      <c r="P424" s="22">
        <f t="shared" si="127"/>
        <v>25696.243337591968</v>
      </c>
      <c r="Q424" s="22">
        <f t="shared" si="127"/>
        <v>1068.0474517382327</v>
      </c>
      <c r="R424" s="22">
        <f t="shared" si="127"/>
        <v>1355.7158631961424</v>
      </c>
      <c r="S424" s="22">
        <f t="shared" si="127"/>
        <v>5089.9581984831402</v>
      </c>
      <c r="T424" s="22">
        <f t="shared" si="127"/>
        <v>0</v>
      </c>
      <c r="U424" s="22">
        <f t="shared" si="127"/>
        <v>416.72703575543386</v>
      </c>
      <c r="V424" s="22">
        <f>IF(V$363&lt;&gt;0,(SUM(V$319:V$320)/V$363)*V$358,0)</f>
        <v>0</v>
      </c>
      <c r="X424" s="6"/>
      <c r="Y424" s="6"/>
      <c r="Z424" s="6"/>
      <c r="AA424" s="6"/>
      <c r="AB424" s="6"/>
      <c r="AC424" s="17" t="str">
        <f t="shared" si="114"/>
        <v>2.3 GS 110-1,000 kVa</v>
      </c>
      <c r="AD424" s="6"/>
      <c r="AE424" s="22">
        <f t="shared" si="128"/>
        <v>0</v>
      </c>
      <c r="AF424" s="22">
        <f t="shared" si="128"/>
        <v>0</v>
      </c>
      <c r="AG424" s="6"/>
      <c r="AH424" s="6"/>
      <c r="AI424" s="6"/>
    </row>
    <row r="425" spans="1:35" ht="16.5" x14ac:dyDescent="0.3">
      <c r="A425" s="28"/>
      <c r="B425" s="28"/>
      <c r="C425" s="26"/>
      <c r="D425" s="1">
        <f t="shared" si="125"/>
        <v>23</v>
      </c>
      <c r="E425" s="17" t="s">
        <v>244</v>
      </c>
      <c r="F425" s="22">
        <f t="shared" si="126"/>
        <v>629145.82535508473</v>
      </c>
      <c r="G425" s="22">
        <f t="shared" si="127"/>
        <v>93503.591544695664</v>
      </c>
      <c r="H425" s="22">
        <f t="shared" si="127"/>
        <v>107137.69145894783</v>
      </c>
      <c r="I425" s="22">
        <f t="shared" si="127"/>
        <v>71360.223751116107</v>
      </c>
      <c r="J425" s="22">
        <f t="shared" si="127"/>
        <v>107022.70289172839</v>
      </c>
      <c r="K425" s="22">
        <f t="shared" si="127"/>
        <v>125771.14737145921</v>
      </c>
      <c r="L425" s="22">
        <f t="shared" si="127"/>
        <v>111938.00937938588</v>
      </c>
      <c r="M425" s="22">
        <f t="shared" si="127"/>
        <v>177.51203922832366</v>
      </c>
      <c r="N425" s="22">
        <f t="shared" si="127"/>
        <v>4687.1828872303531</v>
      </c>
      <c r="O425" s="22">
        <f t="shared" si="127"/>
        <v>111.26221399368237</v>
      </c>
      <c r="P425" s="22">
        <f t="shared" si="127"/>
        <v>6676.6983634863091</v>
      </c>
      <c r="Q425" s="22">
        <f t="shared" si="127"/>
        <v>102.32789956773486</v>
      </c>
      <c r="R425" s="22">
        <f t="shared" si="127"/>
        <v>129.88894497687593</v>
      </c>
      <c r="S425" s="22">
        <f t="shared" si="127"/>
        <v>487.66066572293562</v>
      </c>
      <c r="T425" s="22">
        <f t="shared" si="127"/>
        <v>0</v>
      </c>
      <c r="U425" s="22">
        <f t="shared" si="127"/>
        <v>39.92594354543079</v>
      </c>
      <c r="V425" s="22">
        <f>IF(V$363&lt;&gt;0,(SUM(V$319:V$320)/V$363)*V$359,0)</f>
        <v>0</v>
      </c>
      <c r="X425" s="6"/>
      <c r="Y425" s="6"/>
      <c r="Z425" s="6"/>
      <c r="AA425" s="6"/>
      <c r="AB425" s="6"/>
      <c r="AC425" s="17" t="str">
        <f t="shared" si="114"/>
        <v>2.4 GS Over 1,000 kVa</v>
      </c>
      <c r="AD425" s="6"/>
      <c r="AE425" s="22">
        <f t="shared" si="128"/>
        <v>0</v>
      </c>
      <c r="AF425" s="22">
        <f t="shared" si="128"/>
        <v>0</v>
      </c>
      <c r="AG425" s="6"/>
      <c r="AH425" s="6"/>
      <c r="AI425" s="6"/>
    </row>
    <row r="426" spans="1:35" ht="16.5" x14ac:dyDescent="0.3">
      <c r="A426" s="28"/>
      <c r="B426" s="28"/>
      <c r="C426" s="26"/>
      <c r="D426" s="1">
        <f t="shared" si="125"/>
        <v>24</v>
      </c>
      <c r="E426" s="17" t="s">
        <v>246</v>
      </c>
      <c r="F426" s="34">
        <f t="shared" si="126"/>
        <v>201169.38888666645</v>
      </c>
      <c r="G426" s="22">
        <f t="shared" si="127"/>
        <v>10021.503494566881</v>
      </c>
      <c r="H426" s="22">
        <f t="shared" si="127"/>
        <v>5701.7160465082652</v>
      </c>
      <c r="I426" s="22">
        <f t="shared" si="127"/>
        <v>7648.2274090299725</v>
      </c>
      <c r="J426" s="22">
        <f t="shared" si="127"/>
        <v>11470.451276887792</v>
      </c>
      <c r="K426" s="22">
        <f t="shared" si="127"/>
        <v>13479.867158859592</v>
      </c>
      <c r="L426" s="22">
        <f t="shared" si="127"/>
        <v>11997.262710856943</v>
      </c>
      <c r="M426" s="22">
        <f t="shared" si="127"/>
        <v>23442.68368059049</v>
      </c>
      <c r="N426" s="22">
        <f t="shared" si="127"/>
        <v>1217.1656079850075</v>
      </c>
      <c r="O426" s="22">
        <f t="shared" si="127"/>
        <v>14693.566135540676</v>
      </c>
      <c r="P426" s="22">
        <f t="shared" si="127"/>
        <v>1733.8021191930357</v>
      </c>
      <c r="Q426" s="22">
        <f t="shared" si="127"/>
        <v>13513.678236663984</v>
      </c>
      <c r="R426" s="22">
        <f t="shared" si="127"/>
        <v>0</v>
      </c>
      <c r="S426" s="22">
        <f t="shared" si="127"/>
        <v>0</v>
      </c>
      <c r="T426" s="22">
        <f t="shared" si="127"/>
        <v>80976.745090515353</v>
      </c>
      <c r="U426" s="22">
        <f t="shared" si="127"/>
        <v>5272.7199194684536</v>
      </c>
      <c r="V426" s="34">
        <f>IF(V$363&lt;&gt;0,(SUM(V$319:V$320)/V$363)*V$360,0)</f>
        <v>0</v>
      </c>
      <c r="X426" s="6"/>
      <c r="Y426" s="6"/>
      <c r="Z426" s="6"/>
      <c r="AA426" s="6"/>
      <c r="AB426" s="6"/>
      <c r="AC426" s="17" t="str">
        <f t="shared" si="114"/>
        <v>4.1 Street and Area Lighting</v>
      </c>
      <c r="AD426" s="6"/>
      <c r="AE426" s="22">
        <f t="shared" si="128"/>
        <v>0</v>
      </c>
      <c r="AF426" s="22">
        <f t="shared" si="128"/>
        <v>0</v>
      </c>
      <c r="AG426" s="6"/>
      <c r="AH426" s="6"/>
      <c r="AI426" s="6"/>
    </row>
    <row r="427" spans="1:35" ht="16.5" x14ac:dyDescent="0.3">
      <c r="A427" s="28">
        <f>SUM(G427:AF427)-F427</f>
        <v>0</v>
      </c>
      <c r="B427" s="28"/>
      <c r="C427" s="29"/>
      <c r="D427" s="1">
        <f t="shared" si="125"/>
        <v>25</v>
      </c>
      <c r="E427" s="20" t="s">
        <v>247</v>
      </c>
      <c r="F427" s="30">
        <f>SUM(F419:F426)</f>
        <v>12314534.426022971</v>
      </c>
      <c r="G427" s="30">
        <f>SUM(G419:G426)</f>
        <v>1644903.9080133084</v>
      </c>
      <c r="H427" s="30">
        <f>SUM(H419:H426)</f>
        <v>1164154.3248263609</v>
      </c>
      <c r="I427" s="30">
        <f>SUM(I419:I426)</f>
        <v>1255360.4517833502</v>
      </c>
      <c r="J427" s="30">
        <f t="shared" ref="J427:V427" si="129">SUM(J419:J426)</f>
        <v>1882730.4847279729</v>
      </c>
      <c r="K427" s="30">
        <f t="shared" si="129"/>
        <v>2212550.8593724933</v>
      </c>
      <c r="L427" s="30">
        <f t="shared" si="129"/>
        <v>1969199.9637828623</v>
      </c>
      <c r="M427" s="30">
        <f t="shared" si="129"/>
        <v>541367.34163658007</v>
      </c>
      <c r="N427" s="30">
        <f t="shared" si="129"/>
        <v>191698.30876828023</v>
      </c>
      <c r="O427" s="30">
        <f t="shared" si="129"/>
        <v>339321.93712723284</v>
      </c>
      <c r="P427" s="30">
        <f t="shared" si="129"/>
        <v>273066.32048073702</v>
      </c>
      <c r="Q427" s="30">
        <f t="shared" si="129"/>
        <v>312074.51170669933</v>
      </c>
      <c r="R427" s="30">
        <f t="shared" si="129"/>
        <v>68433.906759615013</v>
      </c>
      <c r="S427" s="30">
        <f t="shared" si="129"/>
        <v>256931.21561928504</v>
      </c>
      <c r="T427" s="30">
        <f t="shared" si="129"/>
        <v>80976.745090515353</v>
      </c>
      <c r="U427" s="30">
        <f t="shared" si="129"/>
        <v>121764.14632767755</v>
      </c>
      <c r="V427" s="30">
        <f t="shared" si="129"/>
        <v>0</v>
      </c>
      <c r="X427" s="6"/>
      <c r="Y427" s="6"/>
      <c r="Z427" s="6"/>
      <c r="AA427" s="6"/>
      <c r="AB427" s="6"/>
      <c r="AC427" s="20" t="str">
        <f t="shared" si="114"/>
        <v xml:space="preserve">    Subtotal Rural</v>
      </c>
      <c r="AD427" s="6"/>
      <c r="AE427" s="30">
        <f>SUM(AE419:AE426)</f>
        <v>0</v>
      </c>
      <c r="AF427" s="30">
        <f>SUM(AF419:AF426)</f>
        <v>0</v>
      </c>
      <c r="AG427" s="6"/>
      <c r="AH427" s="6"/>
      <c r="AI427" s="6"/>
    </row>
    <row r="428" spans="1:35" ht="17.25" thickBot="1" x14ac:dyDescent="0.35">
      <c r="A428" s="28">
        <f>SUM(G428:AF428)-F428</f>
        <v>0</v>
      </c>
      <c r="B428" s="28"/>
      <c r="C428" s="29"/>
      <c r="D428" s="1">
        <f t="shared" si="125"/>
        <v>26</v>
      </c>
      <c r="E428" s="20" t="s">
        <v>248</v>
      </c>
      <c r="F428" s="55">
        <f>SUM(F427,F415:F417)</f>
        <v>73763123.91142574</v>
      </c>
      <c r="G428" s="55">
        <f>SUM(G427,G415:G417)</f>
        <v>26192126.014956877</v>
      </c>
      <c r="H428" s="55">
        <f>SUM(H427,H415:H417)</f>
        <v>17878946.162485372</v>
      </c>
      <c r="I428" s="55">
        <f>SUM(I427,I415:I417)</f>
        <v>20467072.815077223</v>
      </c>
      <c r="J428" s="55">
        <f t="shared" ref="J428:V428" si="130">SUM(J427,J415:J417)</f>
        <v>1882730.4847279729</v>
      </c>
      <c r="K428" s="55">
        <f t="shared" si="130"/>
        <v>2212550.8593724933</v>
      </c>
      <c r="L428" s="55">
        <f t="shared" si="130"/>
        <v>1969199.9637828623</v>
      </c>
      <c r="M428" s="55">
        <f t="shared" si="130"/>
        <v>541367.34163658007</v>
      </c>
      <c r="N428" s="55">
        <f t="shared" si="130"/>
        <v>191698.30876828023</v>
      </c>
      <c r="O428" s="55">
        <f t="shared" si="130"/>
        <v>339321.93712723284</v>
      </c>
      <c r="P428" s="55">
        <f t="shared" si="130"/>
        <v>273066.32048073702</v>
      </c>
      <c r="Q428" s="55">
        <f t="shared" si="130"/>
        <v>312074.51170669933</v>
      </c>
      <c r="R428" s="55">
        <f t="shared" si="130"/>
        <v>68433.906759615013</v>
      </c>
      <c r="S428" s="55">
        <f t="shared" si="130"/>
        <v>256931.21561928504</v>
      </c>
      <c r="T428" s="55">
        <f t="shared" si="130"/>
        <v>80976.745090515353</v>
      </c>
      <c r="U428" s="55">
        <f t="shared" si="130"/>
        <v>121764.14632767755</v>
      </c>
      <c r="V428" s="55">
        <f t="shared" si="130"/>
        <v>974863.17750631797</v>
      </c>
      <c r="X428" s="6"/>
      <c r="Y428" s="6"/>
      <c r="Z428" s="6"/>
      <c r="AA428" s="6"/>
      <c r="AB428" s="6"/>
      <c r="AC428" s="20" t="str">
        <f t="shared" si="114"/>
        <v xml:space="preserve">      Total</v>
      </c>
      <c r="AD428" s="6"/>
      <c r="AE428" s="55">
        <f>SUM(AE427,AE415:AE417)</f>
        <v>0</v>
      </c>
      <c r="AF428" s="55">
        <f>SUM(AF427,AF415:AF417)</f>
        <v>0</v>
      </c>
      <c r="AG428" s="6"/>
      <c r="AH428" s="6"/>
      <c r="AI428" s="6"/>
    </row>
    <row r="429" spans="1:35" ht="17.25" thickTop="1" x14ac:dyDescent="0.3">
      <c r="A429" s="28"/>
      <c r="B429" s="28"/>
      <c r="C429" s="26"/>
      <c r="D429" s="1"/>
      <c r="E429" s="20" t="s">
        <v>256</v>
      </c>
      <c r="F429" s="22" t="s">
        <v>39</v>
      </c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X429" s="6"/>
      <c r="Y429" s="6"/>
      <c r="Z429" s="6"/>
      <c r="AA429" s="6"/>
      <c r="AB429" s="6"/>
      <c r="AC429" s="20" t="str">
        <f t="shared" si="114"/>
        <v>Allocated Return on Equity</v>
      </c>
      <c r="AD429" s="6"/>
      <c r="AE429" s="6"/>
      <c r="AF429" s="6"/>
      <c r="AG429" s="6"/>
      <c r="AH429" s="6"/>
      <c r="AI429" s="6"/>
    </row>
    <row r="430" spans="1:35" ht="16.5" x14ac:dyDescent="0.3">
      <c r="A430" s="28"/>
      <c r="B430" s="28"/>
      <c r="C430" s="26"/>
      <c r="D430" s="1">
        <v>27</v>
      </c>
      <c r="E430" s="6" t="s">
        <v>224</v>
      </c>
      <c r="F430" s="22">
        <f>SUM(G430:AF430)</f>
        <v>35721943.949332498</v>
      </c>
      <c r="G430" s="22">
        <f t="shared" ref="G430:U432" si="131">G$320*G366</f>
        <v>14439709.47425068</v>
      </c>
      <c r="H430" s="22">
        <f t="shared" si="131"/>
        <v>9423279.8994808774</v>
      </c>
      <c r="I430" s="22">
        <f t="shared" si="131"/>
        <v>11316912.614147443</v>
      </c>
      <c r="J430" s="22">
        <f t="shared" si="131"/>
        <v>0</v>
      </c>
      <c r="K430" s="22">
        <f t="shared" si="131"/>
        <v>0</v>
      </c>
      <c r="L430" s="22">
        <f t="shared" si="131"/>
        <v>0</v>
      </c>
      <c r="M430" s="22">
        <f t="shared" si="131"/>
        <v>0</v>
      </c>
      <c r="N430" s="22">
        <f t="shared" si="131"/>
        <v>0</v>
      </c>
      <c r="O430" s="22">
        <f t="shared" si="131"/>
        <v>0</v>
      </c>
      <c r="P430" s="22">
        <f t="shared" si="131"/>
        <v>0</v>
      </c>
      <c r="Q430" s="22">
        <f t="shared" si="131"/>
        <v>0</v>
      </c>
      <c r="R430" s="22">
        <f t="shared" si="131"/>
        <v>0</v>
      </c>
      <c r="S430" s="22">
        <f t="shared" si="131"/>
        <v>0</v>
      </c>
      <c r="T430" s="22">
        <f t="shared" si="131"/>
        <v>0</v>
      </c>
      <c r="U430" s="22">
        <f t="shared" si="131"/>
        <v>0</v>
      </c>
      <c r="V430" s="22">
        <f>T545</f>
        <v>542041.96145349974</v>
      </c>
      <c r="X430" s="6"/>
      <c r="Y430" s="6" t="s">
        <v>39</v>
      </c>
      <c r="Z430" s="6"/>
      <c r="AA430" s="6"/>
      <c r="AB430" s="6"/>
      <c r="AC430" s="6" t="str">
        <f t="shared" si="114"/>
        <v>Newfoundland Power</v>
      </c>
      <c r="AD430" s="6"/>
      <c r="AE430" s="22">
        <f t="shared" ref="AE430:AF432" si="132">AE$320*AE366</f>
        <v>0</v>
      </c>
      <c r="AF430" s="22">
        <f t="shared" si="132"/>
        <v>0</v>
      </c>
      <c r="AG430" s="6"/>
      <c r="AH430" s="6"/>
      <c r="AI430" s="6"/>
    </row>
    <row r="431" spans="1:35" ht="16.5" x14ac:dyDescent="0.3">
      <c r="A431" s="28"/>
      <c r="B431" s="28"/>
      <c r="C431" s="26"/>
      <c r="D431" s="1">
        <v>28</v>
      </c>
      <c r="E431" s="17" t="s">
        <v>227</v>
      </c>
      <c r="F431" s="22">
        <f>SUM(G431:AF431)</f>
        <v>2453757.8239908195</v>
      </c>
      <c r="G431" s="22">
        <f t="shared" si="131"/>
        <v>810558.08056143753</v>
      </c>
      <c r="H431" s="22">
        <f t="shared" si="131"/>
        <v>960992.77042688092</v>
      </c>
      <c r="I431" s="22">
        <f t="shared" si="131"/>
        <v>618603.04012483312</v>
      </c>
      <c r="J431" s="22">
        <f t="shared" si="131"/>
        <v>0</v>
      </c>
      <c r="K431" s="22">
        <f t="shared" si="131"/>
        <v>0</v>
      </c>
      <c r="L431" s="22">
        <f t="shared" si="131"/>
        <v>0</v>
      </c>
      <c r="M431" s="22">
        <f t="shared" si="131"/>
        <v>0</v>
      </c>
      <c r="N431" s="22">
        <f t="shared" si="131"/>
        <v>0</v>
      </c>
      <c r="O431" s="22">
        <f t="shared" si="131"/>
        <v>0</v>
      </c>
      <c r="P431" s="22">
        <f t="shared" si="131"/>
        <v>0</v>
      </c>
      <c r="Q431" s="22">
        <f t="shared" si="131"/>
        <v>0</v>
      </c>
      <c r="R431" s="22">
        <f t="shared" si="131"/>
        <v>0</v>
      </c>
      <c r="S431" s="22">
        <f t="shared" si="131"/>
        <v>0</v>
      </c>
      <c r="T431" s="22">
        <f t="shared" si="131"/>
        <v>0</v>
      </c>
      <c r="U431" s="22">
        <f t="shared" si="131"/>
        <v>0</v>
      </c>
      <c r="V431" s="22">
        <f>T553</f>
        <v>63603.932877667881</v>
      </c>
      <c r="X431" s="6"/>
      <c r="Y431" s="6"/>
      <c r="Z431" s="6"/>
      <c r="AA431" s="6"/>
      <c r="AB431" s="6"/>
      <c r="AC431" s="17" t="str">
        <f t="shared" si="114"/>
        <v>Industrial - Firm</v>
      </c>
      <c r="AD431" s="6"/>
      <c r="AE431" s="22">
        <f t="shared" si="132"/>
        <v>0</v>
      </c>
      <c r="AF431" s="22">
        <f t="shared" si="132"/>
        <v>0</v>
      </c>
      <c r="AG431" s="6"/>
      <c r="AH431" s="6"/>
      <c r="AI431" s="6"/>
    </row>
    <row r="432" spans="1:35" ht="16.5" x14ac:dyDescent="0.3">
      <c r="A432" s="28"/>
      <c r="B432" s="28"/>
      <c r="C432" s="26"/>
      <c r="D432" s="1">
        <v>29</v>
      </c>
      <c r="E432" s="17" t="s">
        <v>229</v>
      </c>
      <c r="F432" s="22">
        <f>SUM(G432:AF432)</f>
        <v>0</v>
      </c>
      <c r="G432" s="22">
        <f t="shared" si="131"/>
        <v>0</v>
      </c>
      <c r="H432" s="22">
        <f t="shared" si="131"/>
        <v>0</v>
      </c>
      <c r="I432" s="22">
        <f t="shared" si="131"/>
        <v>0</v>
      </c>
      <c r="J432" s="22">
        <f t="shared" si="131"/>
        <v>0</v>
      </c>
      <c r="K432" s="22">
        <f t="shared" si="131"/>
        <v>0</v>
      </c>
      <c r="L432" s="22">
        <f t="shared" si="131"/>
        <v>0</v>
      </c>
      <c r="M432" s="22">
        <f t="shared" si="131"/>
        <v>0</v>
      </c>
      <c r="N432" s="22">
        <f t="shared" si="131"/>
        <v>0</v>
      </c>
      <c r="O432" s="22">
        <f t="shared" si="131"/>
        <v>0</v>
      </c>
      <c r="P432" s="22">
        <f t="shared" si="131"/>
        <v>0</v>
      </c>
      <c r="Q432" s="22">
        <f t="shared" si="131"/>
        <v>0</v>
      </c>
      <c r="R432" s="22">
        <f t="shared" si="131"/>
        <v>0</v>
      </c>
      <c r="S432" s="22">
        <f t="shared" si="131"/>
        <v>0</v>
      </c>
      <c r="T432" s="22">
        <f t="shared" si="131"/>
        <v>0</v>
      </c>
      <c r="U432" s="22">
        <f t="shared" si="131"/>
        <v>0</v>
      </c>
      <c r="V432" s="22">
        <f>V$320*V368</f>
        <v>0</v>
      </c>
      <c r="X432" s="6"/>
      <c r="Y432" s="6"/>
      <c r="Z432" s="6"/>
      <c r="AA432" s="6"/>
      <c r="AB432" s="6"/>
      <c r="AC432" s="17" t="str">
        <f t="shared" si="114"/>
        <v>Industrial - Non-Firm</v>
      </c>
      <c r="AD432" s="6"/>
      <c r="AE432" s="22">
        <f t="shared" si="132"/>
        <v>0</v>
      </c>
      <c r="AF432" s="22">
        <f t="shared" si="132"/>
        <v>0</v>
      </c>
      <c r="AG432" s="6"/>
      <c r="AH432" s="6"/>
      <c r="AI432" s="6"/>
    </row>
    <row r="433" spans="1:35" ht="16.5" x14ac:dyDescent="0.3">
      <c r="A433" s="28"/>
      <c r="B433" s="28"/>
      <c r="C433" s="26"/>
      <c r="D433" s="1"/>
      <c r="E433" s="20" t="s">
        <v>230</v>
      </c>
      <c r="F433" s="22"/>
      <c r="G433" s="22" t="s">
        <v>39</v>
      </c>
      <c r="H433" s="22" t="s">
        <v>39</v>
      </c>
      <c r="I433" s="22" t="s">
        <v>39</v>
      </c>
      <c r="J433" s="22" t="s">
        <v>39</v>
      </c>
      <c r="K433" s="22" t="s">
        <v>39</v>
      </c>
      <c r="L433" s="22" t="s">
        <v>39</v>
      </c>
      <c r="M433" s="22" t="s">
        <v>39</v>
      </c>
      <c r="N433" s="22" t="s">
        <v>39</v>
      </c>
      <c r="O433" s="22" t="s">
        <v>39</v>
      </c>
      <c r="P433" s="22" t="s">
        <v>39</v>
      </c>
      <c r="Q433" s="22" t="s">
        <v>39</v>
      </c>
      <c r="R433" s="22" t="s">
        <v>39</v>
      </c>
      <c r="S433" s="22" t="s">
        <v>39</v>
      </c>
      <c r="T433" s="22" t="s">
        <v>39</v>
      </c>
      <c r="U433" s="22" t="s">
        <v>39</v>
      </c>
      <c r="V433" s="22" t="s">
        <v>39</v>
      </c>
      <c r="X433" s="6"/>
      <c r="Y433" s="6"/>
      <c r="Z433" s="6"/>
      <c r="AA433" s="6"/>
      <c r="AB433" s="6"/>
      <c r="AC433" s="20" t="str">
        <f t="shared" si="114"/>
        <v>Rural</v>
      </c>
      <c r="AD433" s="6"/>
      <c r="AE433" s="22" t="s">
        <v>39</v>
      </c>
      <c r="AF433" s="22" t="s">
        <v>39</v>
      </c>
      <c r="AG433" s="6"/>
      <c r="AH433" s="6"/>
      <c r="AI433" s="6"/>
    </row>
    <row r="434" spans="1:35" ht="16.5" x14ac:dyDescent="0.3">
      <c r="A434" s="28"/>
      <c r="B434" s="28"/>
      <c r="C434" s="26"/>
      <c r="D434" s="1">
        <f t="shared" ref="D434:D443" si="133">MAX(D431:D433)+NoOne</f>
        <v>30</v>
      </c>
      <c r="E434" s="17" t="s">
        <v>232</v>
      </c>
      <c r="F434" s="22">
        <f t="shared" ref="F434:F441" si="134">SUM(G434:AF434)</f>
        <v>2513565.0069508143</v>
      </c>
      <c r="G434" s="22">
        <f t="shared" ref="G434:V441" si="135">G$320*G370</f>
        <v>326881.93529147818</v>
      </c>
      <c r="H434" s="22">
        <f t="shared" si="135"/>
        <v>185598.11853815088</v>
      </c>
      <c r="I434" s="22">
        <f t="shared" si="135"/>
        <v>249470.28940003342</v>
      </c>
      <c r="J434" s="22">
        <f t="shared" si="135"/>
        <v>374143.79130720824</v>
      </c>
      <c r="K434" s="22">
        <f t="shared" si="135"/>
        <v>439687.02567922429</v>
      </c>
      <c r="L434" s="22">
        <f t="shared" si="135"/>
        <v>391327.35474785115</v>
      </c>
      <c r="M434" s="22">
        <f t="shared" si="135"/>
        <v>158445.64288304374</v>
      </c>
      <c r="N434" s="22">
        <f t="shared" si="135"/>
        <v>39701.572695561234</v>
      </c>
      <c r="O434" s="22">
        <f t="shared" si="135"/>
        <v>99311.647263229228</v>
      </c>
      <c r="P434" s="22">
        <f t="shared" si="135"/>
        <v>56553.249963096481</v>
      </c>
      <c r="Q434" s="22">
        <f t="shared" si="135"/>
        <v>91336.958903541716</v>
      </c>
      <c r="R434" s="22">
        <f t="shared" si="135"/>
        <v>13770.252580514833</v>
      </c>
      <c r="S434" s="22">
        <f t="shared" si="135"/>
        <v>51699.631110117509</v>
      </c>
      <c r="T434" s="22">
        <f t="shared" si="135"/>
        <v>0</v>
      </c>
      <c r="U434" s="22">
        <f t="shared" si="135"/>
        <v>35637.53658776349</v>
      </c>
      <c r="V434" s="22">
        <f t="shared" si="135"/>
        <v>0</v>
      </c>
      <c r="X434" s="6"/>
      <c r="Y434" s="6"/>
      <c r="Z434" s="6"/>
      <c r="AA434" s="6"/>
      <c r="AB434" s="6"/>
      <c r="AC434" s="17" t="str">
        <f t="shared" si="114"/>
        <v>1.1 Domestic</v>
      </c>
      <c r="AD434" s="6"/>
      <c r="AE434" s="22">
        <f t="shared" ref="AE434:AF441" si="136">AE$320*AE370</f>
        <v>0</v>
      </c>
      <c r="AF434" s="22">
        <f t="shared" si="136"/>
        <v>0</v>
      </c>
      <c r="AG434" s="6"/>
      <c r="AH434" s="6"/>
      <c r="AI434" s="6"/>
    </row>
    <row r="435" spans="1:35" ht="16.5" x14ac:dyDescent="0.3">
      <c r="A435" s="28"/>
      <c r="B435" s="28"/>
      <c r="C435" s="26"/>
      <c r="D435" s="1">
        <f t="shared" si="133"/>
        <v>31</v>
      </c>
      <c r="E435" s="17" t="s">
        <v>234</v>
      </c>
      <c r="F435" s="22">
        <f t="shared" si="134"/>
        <v>2771053.2175783589</v>
      </c>
      <c r="G435" s="22">
        <f t="shared" si="135"/>
        <v>379412.95423676434</v>
      </c>
      <c r="H435" s="22">
        <f t="shared" si="135"/>
        <v>250223.96314583646</v>
      </c>
      <c r="I435" s="22">
        <f t="shared" si="135"/>
        <v>289560.99825818307</v>
      </c>
      <c r="J435" s="22">
        <f t="shared" si="135"/>
        <v>434269.94839170633</v>
      </c>
      <c r="K435" s="22">
        <f t="shared" si="135"/>
        <v>510346.19947344525</v>
      </c>
      <c r="L435" s="22">
        <f t="shared" si="135"/>
        <v>454214.967878683</v>
      </c>
      <c r="M435" s="22">
        <f t="shared" si="135"/>
        <v>120118.69998078</v>
      </c>
      <c r="N435" s="22">
        <f t="shared" si="135"/>
        <v>46081.748050214897</v>
      </c>
      <c r="O435" s="22">
        <f t="shared" si="135"/>
        <v>75288.823000417775</v>
      </c>
      <c r="P435" s="22">
        <f t="shared" si="135"/>
        <v>65641.54614740501</v>
      </c>
      <c r="Q435" s="22">
        <f t="shared" si="135"/>
        <v>69243.158499409052</v>
      </c>
      <c r="R435" s="22">
        <f t="shared" si="135"/>
        <v>10439.320440003306</v>
      </c>
      <c r="S435" s="22">
        <f t="shared" si="135"/>
        <v>39193.835598351987</v>
      </c>
      <c r="T435" s="22">
        <f t="shared" si="135"/>
        <v>0</v>
      </c>
      <c r="U435" s="22">
        <f t="shared" si="135"/>
        <v>27017.054477158748</v>
      </c>
      <c r="V435" s="22">
        <f t="shared" si="135"/>
        <v>0</v>
      </c>
      <c r="X435" s="6"/>
      <c r="Y435" s="6"/>
      <c r="Z435" s="6"/>
      <c r="AA435" s="6"/>
      <c r="AB435" s="6"/>
      <c r="AC435" s="17" t="str">
        <f t="shared" si="114"/>
        <v xml:space="preserve">1.12 Domestic All Electric </v>
      </c>
      <c r="AD435" s="6"/>
      <c r="AE435" s="22">
        <f t="shared" si="136"/>
        <v>0</v>
      </c>
      <c r="AF435" s="22">
        <f t="shared" si="136"/>
        <v>0</v>
      </c>
      <c r="AG435" s="6"/>
      <c r="AH435" s="6"/>
      <c r="AI435" s="6"/>
    </row>
    <row r="436" spans="1:35" ht="16.5" x14ac:dyDescent="0.3">
      <c r="A436" s="28"/>
      <c r="B436" s="28"/>
      <c r="C436" s="26"/>
      <c r="D436" s="1">
        <f t="shared" si="133"/>
        <v>32</v>
      </c>
      <c r="E436" s="17" t="s">
        <v>236</v>
      </c>
      <c r="F436" s="22">
        <f t="shared" si="134"/>
        <v>8180.6773125211594</v>
      </c>
      <c r="G436" s="22">
        <f t="shared" si="135"/>
        <v>1314.8407602515019</v>
      </c>
      <c r="H436" s="22">
        <f t="shared" si="135"/>
        <v>588.43822606307344</v>
      </c>
      <c r="I436" s="22">
        <f t="shared" si="135"/>
        <v>1003.4623194530917</v>
      </c>
      <c r="J436" s="22">
        <f t="shared" si="135"/>
        <v>1504.9455289326106</v>
      </c>
      <c r="K436" s="22">
        <f t="shared" si="135"/>
        <v>1768.5848029542808</v>
      </c>
      <c r="L436" s="22">
        <f t="shared" si="135"/>
        <v>1574.0642142401307</v>
      </c>
      <c r="M436" s="22">
        <f t="shared" si="135"/>
        <v>13.785195737415501</v>
      </c>
      <c r="N436" s="22">
        <f t="shared" si="135"/>
        <v>159.69449636201077</v>
      </c>
      <c r="O436" s="22">
        <f t="shared" si="135"/>
        <v>8.6403795750907832</v>
      </c>
      <c r="P436" s="22">
        <f t="shared" si="135"/>
        <v>227.47821200295473</v>
      </c>
      <c r="Q436" s="22">
        <f t="shared" si="135"/>
        <v>7.9465603069627999</v>
      </c>
      <c r="R436" s="22">
        <f t="shared" si="135"/>
        <v>1.1980488937532174</v>
      </c>
      <c r="S436" s="22">
        <f t="shared" si="135"/>
        <v>4.4980065178012865</v>
      </c>
      <c r="T436" s="22">
        <f t="shared" si="135"/>
        <v>0</v>
      </c>
      <c r="U436" s="22">
        <f t="shared" si="135"/>
        <v>3.1005612304798831</v>
      </c>
      <c r="V436" s="22">
        <f t="shared" si="135"/>
        <v>0</v>
      </c>
      <c r="X436" s="6"/>
      <c r="Y436" s="6"/>
      <c r="Z436" s="6"/>
      <c r="AA436" s="6"/>
      <c r="AB436" s="6"/>
      <c r="AC436" s="17" t="str">
        <f t="shared" si="114"/>
        <v>1.3 Special</v>
      </c>
      <c r="AD436" s="6"/>
      <c r="AE436" s="22">
        <f t="shared" si="136"/>
        <v>0</v>
      </c>
      <c r="AF436" s="22">
        <f t="shared" si="136"/>
        <v>0</v>
      </c>
      <c r="AG436" s="6"/>
      <c r="AH436" s="6"/>
      <c r="AI436" s="6"/>
    </row>
    <row r="437" spans="1:35" ht="16.5" x14ac:dyDescent="0.3">
      <c r="A437" s="28"/>
      <c r="B437" s="28"/>
      <c r="C437" s="26"/>
      <c r="D437" s="1">
        <f t="shared" si="133"/>
        <v>33</v>
      </c>
      <c r="E437" s="17" t="s">
        <v>238</v>
      </c>
      <c r="F437" s="22">
        <f t="shared" si="134"/>
        <v>1173110.7706288479</v>
      </c>
      <c r="G437" s="22">
        <f t="shared" si="135"/>
        <v>150480.39443754576</v>
      </c>
      <c r="H437" s="22">
        <f t="shared" si="135"/>
        <v>124232.36256948173</v>
      </c>
      <c r="I437" s="22">
        <f t="shared" si="135"/>
        <v>114843.87326540766</v>
      </c>
      <c r="J437" s="22">
        <f t="shared" si="135"/>
        <v>172237.43258269699</v>
      </c>
      <c r="K437" s="22">
        <f t="shared" si="135"/>
        <v>202410.31978191994</v>
      </c>
      <c r="L437" s="22">
        <f t="shared" si="135"/>
        <v>180147.90154784429</v>
      </c>
      <c r="M437" s="22">
        <f t="shared" si="135"/>
        <v>41927.672835349244</v>
      </c>
      <c r="N437" s="22">
        <f t="shared" si="135"/>
        <v>18276.654883640796</v>
      </c>
      <c r="O437" s="22">
        <f t="shared" si="135"/>
        <v>26279.714477638616</v>
      </c>
      <c r="P437" s="22">
        <f t="shared" si="135"/>
        <v>26034.339748947685</v>
      </c>
      <c r="Q437" s="22">
        <f t="shared" si="135"/>
        <v>24169.463173627355</v>
      </c>
      <c r="R437" s="22">
        <f t="shared" si="135"/>
        <v>17381.695591450745</v>
      </c>
      <c r="S437" s="22">
        <f t="shared" si="135"/>
        <v>65258.588750792689</v>
      </c>
      <c r="T437" s="22">
        <f t="shared" si="135"/>
        <v>0</v>
      </c>
      <c r="U437" s="22">
        <f t="shared" si="135"/>
        <v>9430.3569825045652</v>
      </c>
      <c r="V437" s="22">
        <f t="shared" si="135"/>
        <v>0</v>
      </c>
      <c r="X437" s="6"/>
      <c r="Y437" s="6"/>
      <c r="Z437" s="6"/>
      <c r="AA437" s="6"/>
      <c r="AB437" s="6"/>
      <c r="AC437" s="17" t="str">
        <f t="shared" si="114"/>
        <v>2.1 GS 0-10 kW</v>
      </c>
      <c r="AD437" s="6"/>
      <c r="AE437" s="22">
        <f t="shared" si="136"/>
        <v>0</v>
      </c>
      <c r="AF437" s="22">
        <f t="shared" si="136"/>
        <v>0</v>
      </c>
      <c r="AG437" s="6"/>
      <c r="AH437" s="6"/>
      <c r="AI437" s="6"/>
    </row>
    <row r="438" spans="1:35" ht="16.5" x14ac:dyDescent="0.3">
      <c r="A438" s="28"/>
      <c r="B438" s="28"/>
      <c r="C438" s="26"/>
      <c r="D438" s="1">
        <f t="shared" si="133"/>
        <v>34</v>
      </c>
      <c r="E438" s="17" t="s">
        <v>240</v>
      </c>
      <c r="F438" s="22">
        <f t="shared" si="134"/>
        <v>0</v>
      </c>
      <c r="G438" s="22">
        <f t="shared" si="135"/>
        <v>0</v>
      </c>
      <c r="H438" s="22">
        <f t="shared" si="135"/>
        <v>0</v>
      </c>
      <c r="I438" s="22">
        <f t="shared" si="135"/>
        <v>0</v>
      </c>
      <c r="J438" s="22">
        <f t="shared" si="135"/>
        <v>0</v>
      </c>
      <c r="K438" s="22">
        <f t="shared" si="135"/>
        <v>0</v>
      </c>
      <c r="L438" s="22">
        <f t="shared" si="135"/>
        <v>0</v>
      </c>
      <c r="M438" s="22">
        <f t="shared" si="135"/>
        <v>0</v>
      </c>
      <c r="N438" s="22">
        <f t="shared" si="135"/>
        <v>0</v>
      </c>
      <c r="O438" s="22">
        <f t="shared" si="135"/>
        <v>0</v>
      </c>
      <c r="P438" s="22">
        <f t="shared" si="135"/>
        <v>0</v>
      </c>
      <c r="Q438" s="22">
        <f t="shared" si="135"/>
        <v>0</v>
      </c>
      <c r="R438" s="22">
        <f t="shared" si="135"/>
        <v>0</v>
      </c>
      <c r="S438" s="22">
        <f t="shared" si="135"/>
        <v>0</v>
      </c>
      <c r="T438" s="22">
        <f t="shared" si="135"/>
        <v>0</v>
      </c>
      <c r="U438" s="22">
        <f t="shared" si="135"/>
        <v>0</v>
      </c>
      <c r="V438" s="22">
        <f t="shared" si="135"/>
        <v>0</v>
      </c>
      <c r="X438" s="6"/>
      <c r="Y438" s="6"/>
      <c r="Z438" s="6"/>
      <c r="AA438" s="6"/>
      <c r="AB438" s="6"/>
      <c r="AC438" s="17" t="str">
        <f t="shared" si="114"/>
        <v>2.2 GS 10-100 kW</v>
      </c>
      <c r="AD438" s="6"/>
      <c r="AE438" s="22">
        <f t="shared" si="136"/>
        <v>0</v>
      </c>
      <c r="AF438" s="22">
        <f t="shared" si="136"/>
        <v>0</v>
      </c>
      <c r="AG438" s="6"/>
      <c r="AH438" s="6"/>
      <c r="AI438" s="6"/>
    </row>
    <row r="439" spans="1:35" ht="16.5" x14ac:dyDescent="0.3">
      <c r="A439" s="28"/>
      <c r="B439" s="28"/>
      <c r="C439" s="26"/>
      <c r="D439" s="1">
        <f t="shared" si="133"/>
        <v>35</v>
      </c>
      <c r="E439" s="17" t="s">
        <v>242</v>
      </c>
      <c r="F439" s="22">
        <f t="shared" si="134"/>
        <v>668804.58866928529</v>
      </c>
      <c r="G439" s="22">
        <f t="shared" si="135"/>
        <v>99510.666058500501</v>
      </c>
      <c r="H439" s="22">
        <f t="shared" si="135"/>
        <v>92499.607683289243</v>
      </c>
      <c r="I439" s="22">
        <f t="shared" si="135"/>
        <v>75944.712692269066</v>
      </c>
      <c r="J439" s="22">
        <f t="shared" si="135"/>
        <v>113898.30350041836</v>
      </c>
      <c r="K439" s="22">
        <f t="shared" si="135"/>
        <v>133851.22901822612</v>
      </c>
      <c r="L439" s="22">
        <f t="shared" si="135"/>
        <v>119129.39050347384</v>
      </c>
      <c r="M439" s="22">
        <f t="shared" si="135"/>
        <v>1151.0638440741943</v>
      </c>
      <c r="N439" s="22">
        <f t="shared" si="135"/>
        <v>11207.14240267001</v>
      </c>
      <c r="O439" s="22">
        <f t="shared" si="135"/>
        <v>721.4716945200804</v>
      </c>
      <c r="P439" s="22">
        <f t="shared" si="135"/>
        <v>15964.111309400994</v>
      </c>
      <c r="Q439" s="22">
        <f t="shared" si="135"/>
        <v>663.53778563139372</v>
      </c>
      <c r="R439" s="22">
        <f t="shared" si="135"/>
        <v>842.25537015840086</v>
      </c>
      <c r="S439" s="22">
        <f t="shared" si="135"/>
        <v>3162.199943908131</v>
      </c>
      <c r="T439" s="22">
        <f t="shared" si="135"/>
        <v>0</v>
      </c>
      <c r="U439" s="22">
        <f t="shared" si="135"/>
        <v>258.89686274507022</v>
      </c>
      <c r="V439" s="22">
        <f t="shared" si="135"/>
        <v>0</v>
      </c>
      <c r="X439" s="6"/>
      <c r="Y439" s="6"/>
      <c r="Z439" s="6"/>
      <c r="AA439" s="6"/>
      <c r="AB439" s="6"/>
      <c r="AC439" s="17" t="str">
        <f t="shared" si="114"/>
        <v>2.3 GS 110-1,000 kVa</v>
      </c>
      <c r="AD439" s="6"/>
      <c r="AE439" s="22">
        <f t="shared" si="136"/>
        <v>0</v>
      </c>
      <c r="AF439" s="22">
        <f t="shared" si="136"/>
        <v>0</v>
      </c>
      <c r="AG439" s="6"/>
      <c r="AH439" s="6"/>
      <c r="AI439" s="6"/>
    </row>
    <row r="440" spans="1:35" ht="16.5" x14ac:dyDescent="0.3">
      <c r="A440" s="28"/>
      <c r="B440" s="28"/>
      <c r="C440" s="26"/>
      <c r="D440" s="1">
        <f t="shared" si="133"/>
        <v>36</v>
      </c>
      <c r="E440" s="17" t="s">
        <v>244</v>
      </c>
      <c r="F440" s="22">
        <f t="shared" si="134"/>
        <v>390864.68219734507</v>
      </c>
      <c r="G440" s="22">
        <f t="shared" si="135"/>
        <v>58090.271158996977</v>
      </c>
      <c r="H440" s="22">
        <f t="shared" si="135"/>
        <v>66560.6255907749</v>
      </c>
      <c r="I440" s="22">
        <f t="shared" si="135"/>
        <v>44333.428044713342</v>
      </c>
      <c r="J440" s="22">
        <f t="shared" si="135"/>
        <v>66489.187510808013</v>
      </c>
      <c r="K440" s="22">
        <f t="shared" si="135"/>
        <v>78136.892220806898</v>
      </c>
      <c r="L440" s="22">
        <f t="shared" si="135"/>
        <v>69542.882903472302</v>
      </c>
      <c r="M440" s="22">
        <f t="shared" si="135"/>
        <v>110.28156589932401</v>
      </c>
      <c r="N440" s="22">
        <f t="shared" si="135"/>
        <v>2911.9707638274954</v>
      </c>
      <c r="O440" s="22">
        <f t="shared" si="135"/>
        <v>69.123036600726266</v>
      </c>
      <c r="P440" s="22">
        <f t="shared" si="135"/>
        <v>4147.9820397738868</v>
      </c>
      <c r="Q440" s="22">
        <f t="shared" si="135"/>
        <v>63.572482455702399</v>
      </c>
      <c r="R440" s="22">
        <f t="shared" si="135"/>
        <v>80.695125284637214</v>
      </c>
      <c r="S440" s="22">
        <f t="shared" si="135"/>
        <v>302.96526408700657</v>
      </c>
      <c r="T440" s="22">
        <f t="shared" si="135"/>
        <v>0</v>
      </c>
      <c r="U440" s="22">
        <f t="shared" si="135"/>
        <v>24.804489843839065</v>
      </c>
      <c r="V440" s="22">
        <f t="shared" si="135"/>
        <v>0</v>
      </c>
      <c r="X440" s="6"/>
      <c r="Y440" s="6"/>
      <c r="Z440" s="6"/>
      <c r="AA440" s="6"/>
      <c r="AB440" s="6"/>
      <c r="AC440" s="17" t="str">
        <f t="shared" si="114"/>
        <v>2.4 GS Over 1,000 kVa</v>
      </c>
      <c r="AD440" s="6"/>
      <c r="AE440" s="22">
        <f t="shared" si="136"/>
        <v>0</v>
      </c>
      <c r="AF440" s="22">
        <f t="shared" si="136"/>
        <v>0</v>
      </c>
      <c r="AG440" s="6"/>
      <c r="AH440" s="6"/>
      <c r="AI440" s="6"/>
    </row>
    <row r="441" spans="1:35" ht="16.5" x14ac:dyDescent="0.3">
      <c r="A441" s="28"/>
      <c r="B441" s="28"/>
      <c r="C441" s="26"/>
      <c r="D441" s="1">
        <f t="shared" si="133"/>
        <v>37</v>
      </c>
      <c r="E441" s="17" t="s">
        <v>246</v>
      </c>
      <c r="F441" s="34">
        <f t="shared" si="134"/>
        <v>124978.98910899211</v>
      </c>
      <c r="G441" s="22">
        <f t="shared" si="135"/>
        <v>6225.9838986179639</v>
      </c>
      <c r="H441" s="22">
        <f t="shared" si="135"/>
        <v>3542.2621285616133</v>
      </c>
      <c r="I441" s="22">
        <f t="shared" si="135"/>
        <v>4751.556563085067</v>
      </c>
      <c r="J441" s="22">
        <f t="shared" si="135"/>
        <v>7126.1607600598591</v>
      </c>
      <c r="K441" s="22">
        <f t="shared" si="135"/>
        <v>8374.5354109858599</v>
      </c>
      <c r="L441" s="22">
        <f t="shared" si="135"/>
        <v>7453.4489266785667</v>
      </c>
      <c r="M441" s="22">
        <f t="shared" si="135"/>
        <v>14564.059296579475</v>
      </c>
      <c r="N441" s="22">
        <f t="shared" si="135"/>
        <v>756.17929798404134</v>
      </c>
      <c r="O441" s="22">
        <f t="shared" si="135"/>
        <v>9128.5610210834111</v>
      </c>
      <c r="P441" s="22">
        <f t="shared" si="135"/>
        <v>1077.1461670734145</v>
      </c>
      <c r="Q441" s="22">
        <f t="shared" si="135"/>
        <v>8395.5409643061976</v>
      </c>
      <c r="R441" s="22">
        <f t="shared" si="135"/>
        <v>0</v>
      </c>
      <c r="S441" s="22">
        <f t="shared" si="135"/>
        <v>0</v>
      </c>
      <c r="T441" s="22">
        <f t="shared" si="135"/>
        <v>50307.81173397466</v>
      </c>
      <c r="U441" s="22">
        <f t="shared" si="135"/>
        <v>3275.7429400019964</v>
      </c>
      <c r="V441" s="22">
        <f t="shared" si="135"/>
        <v>0</v>
      </c>
      <c r="X441" s="6"/>
      <c r="Y441" s="6"/>
      <c r="Z441" s="6"/>
      <c r="AA441" s="6"/>
      <c r="AB441" s="6"/>
      <c r="AC441" s="17" t="str">
        <f t="shared" si="114"/>
        <v>4.1 Street and Area Lighting</v>
      </c>
      <c r="AD441" s="6"/>
      <c r="AE441" s="22">
        <f t="shared" si="136"/>
        <v>0</v>
      </c>
      <c r="AF441" s="22">
        <f t="shared" si="136"/>
        <v>0</v>
      </c>
      <c r="AG441" s="6"/>
      <c r="AH441" s="6"/>
      <c r="AI441" s="6"/>
    </row>
    <row r="442" spans="1:35" ht="16.5" x14ac:dyDescent="0.3">
      <c r="A442" s="28"/>
      <c r="B442" s="28"/>
      <c r="C442" s="26"/>
      <c r="D442" s="1">
        <f t="shared" si="133"/>
        <v>38</v>
      </c>
      <c r="E442" s="20" t="s">
        <v>247</v>
      </c>
      <c r="F442" s="30">
        <f>SUM(F434:F441)</f>
        <v>7650557.932446165</v>
      </c>
      <c r="G442" s="30">
        <f>SUM(G434:G441)</f>
        <v>1021917.0458421552</v>
      </c>
      <c r="H442" s="30">
        <f>SUM(H434:H441)</f>
        <v>723245.37788215792</v>
      </c>
      <c r="I442" s="30">
        <f>SUM(I434:I441)</f>
        <v>779908.32054314471</v>
      </c>
      <c r="J442" s="30">
        <f t="shared" ref="J442:V442" si="137">SUM(J434:J441)</f>
        <v>1169669.7695818306</v>
      </c>
      <c r="K442" s="30">
        <f t="shared" si="137"/>
        <v>1374574.7863875623</v>
      </c>
      <c r="L442" s="30">
        <f t="shared" si="137"/>
        <v>1223390.0107222435</v>
      </c>
      <c r="M442" s="30">
        <f t="shared" si="137"/>
        <v>336331.20560146339</v>
      </c>
      <c r="N442" s="30">
        <f t="shared" si="137"/>
        <v>119094.96259026049</v>
      </c>
      <c r="O442" s="30">
        <f t="shared" si="137"/>
        <v>210807.98087306495</v>
      </c>
      <c r="P442" s="30">
        <f t="shared" si="137"/>
        <v>169645.85358770043</v>
      </c>
      <c r="Q442" s="30">
        <f t="shared" si="137"/>
        <v>193880.17836927838</v>
      </c>
      <c r="R442" s="30">
        <f t="shared" si="137"/>
        <v>42515.417156305673</v>
      </c>
      <c r="S442" s="30">
        <f t="shared" si="137"/>
        <v>159621.71867377515</v>
      </c>
      <c r="T442" s="30">
        <f t="shared" si="137"/>
        <v>50307.81173397466</v>
      </c>
      <c r="U442" s="30">
        <f t="shared" si="137"/>
        <v>75647.492901248173</v>
      </c>
      <c r="V442" s="30">
        <f t="shared" si="137"/>
        <v>0</v>
      </c>
      <c r="X442" s="6"/>
      <c r="Y442" s="6"/>
      <c r="Z442" s="6"/>
      <c r="AA442" s="6"/>
      <c r="AB442" s="6"/>
      <c r="AC442" s="20" t="str">
        <f t="shared" si="114"/>
        <v xml:space="preserve">    Subtotal Rural</v>
      </c>
      <c r="AD442" s="6"/>
      <c r="AE442" s="30">
        <f>SUM(AE434:AE441)</f>
        <v>0</v>
      </c>
      <c r="AF442" s="30">
        <f>SUM(AF434:AF441)</f>
        <v>0</v>
      </c>
      <c r="AG442" s="6"/>
      <c r="AH442" s="6"/>
      <c r="AI442" s="6"/>
    </row>
    <row r="443" spans="1:35" ht="17.25" thickBot="1" x14ac:dyDescent="0.35">
      <c r="A443" s="28"/>
      <c r="B443" s="28"/>
      <c r="C443" s="26"/>
      <c r="D443" s="1">
        <f t="shared" si="133"/>
        <v>39</v>
      </c>
      <c r="E443" s="20" t="s">
        <v>248</v>
      </c>
      <c r="F443" s="55">
        <f>SUM(F442,F430:F432)</f>
        <v>45826259.705769487</v>
      </c>
      <c r="G443" s="55">
        <f>SUM(G442,G430:G432)</f>
        <v>16272184.600654272</v>
      </c>
      <c r="H443" s="55">
        <f>SUM(H442,H430:H432)</f>
        <v>11107518.047789916</v>
      </c>
      <c r="I443" s="55">
        <f>SUM(I442,I430:I432)</f>
        <v>12715423.974815421</v>
      </c>
      <c r="J443" s="55">
        <f t="shared" ref="J443:V443" si="138">SUM(J442,J430:J432)</f>
        <v>1169669.7695818306</v>
      </c>
      <c r="K443" s="55">
        <f t="shared" si="138"/>
        <v>1374574.7863875623</v>
      </c>
      <c r="L443" s="55">
        <f t="shared" si="138"/>
        <v>1223390.0107222435</v>
      </c>
      <c r="M443" s="55">
        <f t="shared" si="138"/>
        <v>336331.20560146339</v>
      </c>
      <c r="N443" s="55">
        <f t="shared" si="138"/>
        <v>119094.96259026049</v>
      </c>
      <c r="O443" s="55">
        <f t="shared" si="138"/>
        <v>210807.98087306495</v>
      </c>
      <c r="P443" s="55">
        <f t="shared" si="138"/>
        <v>169645.85358770043</v>
      </c>
      <c r="Q443" s="55">
        <f t="shared" si="138"/>
        <v>193880.17836927838</v>
      </c>
      <c r="R443" s="55">
        <f t="shared" si="138"/>
        <v>42515.417156305673</v>
      </c>
      <c r="S443" s="55">
        <f t="shared" si="138"/>
        <v>159621.71867377515</v>
      </c>
      <c r="T443" s="55">
        <f t="shared" si="138"/>
        <v>50307.81173397466</v>
      </c>
      <c r="U443" s="55">
        <f t="shared" si="138"/>
        <v>75647.492901248173</v>
      </c>
      <c r="V443" s="55">
        <f t="shared" si="138"/>
        <v>605645.89433116757</v>
      </c>
      <c r="X443" s="6"/>
      <c r="Y443" s="6"/>
      <c r="Z443" s="6"/>
      <c r="AA443" s="6"/>
      <c r="AB443" s="6"/>
      <c r="AC443" s="20" t="str">
        <f t="shared" si="114"/>
        <v xml:space="preserve">      Total</v>
      </c>
      <c r="AD443" s="6"/>
      <c r="AE443" s="55">
        <f>SUM(AE442,AE430:AE432)</f>
        <v>0</v>
      </c>
      <c r="AF443" s="55">
        <f>SUM(AF442,AF430:AF432)</f>
        <v>0</v>
      </c>
      <c r="AG443" s="6"/>
      <c r="AH443" s="6"/>
      <c r="AI443" s="6"/>
    </row>
    <row r="444" spans="1:35" ht="17.25" thickTop="1" x14ac:dyDescent="0.3">
      <c r="A444" s="28"/>
      <c r="B444" s="28"/>
      <c r="C444" s="26"/>
      <c r="D444" s="1"/>
      <c r="E444" s="20"/>
      <c r="F444" s="64"/>
      <c r="G444" s="64"/>
      <c r="H444" s="64"/>
      <c r="I444" s="64"/>
      <c r="J444" s="64"/>
      <c r="K444" s="64"/>
      <c r="L444" s="64"/>
      <c r="M444" s="64"/>
      <c r="N444" s="64"/>
      <c r="O444" s="64"/>
      <c r="P444" s="64"/>
      <c r="Q444" s="64"/>
      <c r="R444" s="64"/>
      <c r="S444" s="64"/>
      <c r="T444" s="64"/>
      <c r="U444" s="64"/>
      <c r="V444" s="64"/>
      <c r="X444" s="6"/>
      <c r="Y444" s="6"/>
      <c r="Z444" s="1"/>
      <c r="AA444" s="6"/>
      <c r="AB444" s="6"/>
      <c r="AC444" s="20"/>
      <c r="AD444" s="6"/>
      <c r="AE444" s="64"/>
      <c r="AF444" s="64"/>
      <c r="AG444" s="6"/>
      <c r="AH444" s="6"/>
      <c r="AI444" s="6"/>
    </row>
    <row r="445" spans="1:35" ht="16.5" x14ac:dyDescent="0.3">
      <c r="A445" s="28"/>
      <c r="B445" s="28"/>
      <c r="C445" s="26"/>
      <c r="D445" s="1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7" t="s">
        <v>250</v>
      </c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42" t="str">
        <f>+V445</f>
        <v>Schedule F 3.2A</v>
      </c>
    </row>
    <row r="446" spans="1:35" ht="16.5" x14ac:dyDescent="0.3">
      <c r="A446" s="28"/>
      <c r="B446" s="28"/>
      <c r="C446" s="26"/>
      <c r="D446" s="1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7" t="s">
        <v>257</v>
      </c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 t="s">
        <v>258</v>
      </c>
    </row>
    <row r="447" spans="1:35" ht="16.5" x14ac:dyDescent="0.3">
      <c r="A447" s="28"/>
      <c r="B447" s="28"/>
      <c r="C447" s="26"/>
      <c r="D447" s="8" t="str">
        <f>$D$5</f>
        <v>NEWFOUNDLAND AND LABRADOR HYDRO</v>
      </c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X447" s="6"/>
      <c r="Y447" s="6"/>
      <c r="Z447" s="6"/>
      <c r="AA447" s="9" t="s">
        <v>6</v>
      </c>
      <c r="AB447" s="9"/>
      <c r="AC447" s="10"/>
      <c r="AD447" s="9"/>
      <c r="AE447" s="9"/>
      <c r="AF447" s="9"/>
      <c r="AG447" s="9"/>
      <c r="AH447" s="11"/>
      <c r="AI447" s="11"/>
    </row>
    <row r="448" spans="1:35" ht="16.5" x14ac:dyDescent="0.3">
      <c r="A448" s="28"/>
      <c r="B448" s="28"/>
      <c r="C448" s="26"/>
      <c r="D448" s="8" t="str">
        <f>$D$6</f>
        <v>2027 Test Year Cost of Service Study</v>
      </c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X448" s="6"/>
      <c r="Y448" s="6"/>
      <c r="Z448" s="6"/>
      <c r="AA448" s="9" t="str">
        <f>RunName</f>
        <v>2027 Test Year Cost of Service Study</v>
      </c>
      <c r="AB448" s="9"/>
      <c r="AC448" s="10"/>
      <c r="AD448" s="9"/>
      <c r="AE448" s="9"/>
      <c r="AF448" s="9"/>
      <c r="AG448" s="9"/>
      <c r="AH448" s="11"/>
      <c r="AI448" s="11"/>
    </row>
    <row r="449" spans="1:35" ht="16.5" x14ac:dyDescent="0.3">
      <c r="A449" s="28"/>
      <c r="B449" s="28"/>
      <c r="C449" s="26"/>
      <c r="D449" s="8" t="str">
        <f>$B$1</f>
        <v>Island Interconnected</v>
      </c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X449" s="6"/>
      <c r="Y449" s="6"/>
      <c r="Z449" s="6"/>
      <c r="AA449" s="9" t="str">
        <f>$B$1</f>
        <v>Island Interconnected</v>
      </c>
      <c r="AB449" s="9"/>
      <c r="AC449" s="10"/>
      <c r="AD449" s="9"/>
      <c r="AE449" s="9"/>
      <c r="AF449" s="9"/>
      <c r="AG449" s="9"/>
      <c r="AH449" s="11"/>
      <c r="AI449" s="11"/>
    </row>
    <row r="450" spans="1:35" ht="16.5" x14ac:dyDescent="0.3">
      <c r="A450" s="28"/>
      <c r="B450" s="28"/>
      <c r="C450" s="26"/>
      <c r="D450" s="8" t="s">
        <v>259</v>
      </c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X450" s="6"/>
      <c r="Y450" s="6"/>
      <c r="Z450" s="6"/>
      <c r="AA450" s="9" t="str">
        <f>+D450</f>
        <v>Allocation of Functionalized Amounts to Classes of Service (CONT'D.)</v>
      </c>
      <c r="AB450" s="9"/>
      <c r="AC450" s="10"/>
      <c r="AD450" s="9"/>
      <c r="AE450" s="9"/>
      <c r="AF450" s="9"/>
      <c r="AG450" s="9"/>
      <c r="AH450" s="11"/>
      <c r="AI450" s="11"/>
    </row>
    <row r="451" spans="1:35" ht="15" customHeight="1" x14ac:dyDescent="0.3">
      <c r="A451" s="28"/>
      <c r="B451" s="28"/>
      <c r="C451" s="26"/>
      <c r="D451" s="8"/>
      <c r="E451" s="1">
        <f t="shared" ref="E451:V451" si="139">MAX(D451)+NoOne</f>
        <v>1</v>
      </c>
      <c r="F451" s="1">
        <f t="shared" si="139"/>
        <v>2</v>
      </c>
      <c r="G451" s="1">
        <f t="shared" si="139"/>
        <v>3</v>
      </c>
      <c r="H451" s="1">
        <f t="shared" si="139"/>
        <v>4</v>
      </c>
      <c r="I451" s="1">
        <f t="shared" si="139"/>
        <v>5</v>
      </c>
      <c r="J451" s="1">
        <f t="shared" si="139"/>
        <v>6</v>
      </c>
      <c r="K451" s="1">
        <f t="shared" si="139"/>
        <v>7</v>
      </c>
      <c r="L451" s="1">
        <f t="shared" si="139"/>
        <v>8</v>
      </c>
      <c r="M451" s="1">
        <f t="shared" si="139"/>
        <v>9</v>
      </c>
      <c r="N451" s="1">
        <f t="shared" si="139"/>
        <v>10</v>
      </c>
      <c r="O451" s="1">
        <f t="shared" si="139"/>
        <v>11</v>
      </c>
      <c r="P451" s="1">
        <f t="shared" si="139"/>
        <v>12</v>
      </c>
      <c r="Q451" s="1">
        <f t="shared" si="139"/>
        <v>13</v>
      </c>
      <c r="R451" s="1">
        <f t="shared" si="139"/>
        <v>14</v>
      </c>
      <c r="S451" s="1">
        <f t="shared" si="139"/>
        <v>15</v>
      </c>
      <c r="T451" s="1">
        <f t="shared" si="139"/>
        <v>16</v>
      </c>
      <c r="U451" s="1">
        <f t="shared" si="139"/>
        <v>17</v>
      </c>
      <c r="V451" s="1">
        <f t="shared" si="139"/>
        <v>18</v>
      </c>
      <c r="X451" s="108"/>
      <c r="Y451" s="108"/>
      <c r="Z451" s="108"/>
      <c r="AA451" s="108"/>
      <c r="AB451" s="108"/>
      <c r="AC451" s="1">
        <v>1</v>
      </c>
      <c r="AD451" s="13"/>
      <c r="AE451" s="1">
        <v>19</v>
      </c>
      <c r="AF451" s="1">
        <v>20</v>
      </c>
      <c r="AG451" s="6"/>
      <c r="AH451" s="6"/>
      <c r="AI451" s="6"/>
    </row>
    <row r="452" spans="1:35" ht="16.5" x14ac:dyDescent="0.3">
      <c r="A452" s="28"/>
      <c r="B452" s="28"/>
      <c r="C452" s="26"/>
      <c r="D452" s="1"/>
      <c r="E452" s="13"/>
      <c r="F452" s="13"/>
      <c r="G452" s="13"/>
      <c r="H452" s="13"/>
      <c r="I452" s="13"/>
      <c r="J452" s="13" t="s">
        <v>8</v>
      </c>
      <c r="K452" s="14" t="s">
        <v>9</v>
      </c>
      <c r="L452" s="14"/>
      <c r="M452" s="14"/>
      <c r="N452" s="14"/>
      <c r="O452" s="14"/>
      <c r="P452" s="14"/>
      <c r="Q452" s="14"/>
      <c r="R452" s="14"/>
      <c r="S452" s="14"/>
      <c r="T452" s="14"/>
      <c r="U452" s="6"/>
      <c r="V452" s="13" t="s">
        <v>10</v>
      </c>
      <c r="X452" s="6"/>
      <c r="Y452" s="6"/>
      <c r="Z452" s="6"/>
      <c r="AA452" s="13"/>
      <c r="AB452" s="13"/>
      <c r="AC452" s="12"/>
      <c r="AD452" s="12"/>
      <c r="AE452" s="78" t="s">
        <v>135</v>
      </c>
      <c r="AF452" s="66"/>
      <c r="AG452" s="13"/>
      <c r="AH452" s="13"/>
      <c r="AI452" s="13"/>
    </row>
    <row r="453" spans="1:35" ht="16.5" x14ac:dyDescent="0.3">
      <c r="A453" s="28"/>
      <c r="B453" s="28"/>
      <c r="C453" s="26"/>
      <c r="D453" s="1" t="s">
        <v>14</v>
      </c>
      <c r="E453" s="13"/>
      <c r="F453" s="13" t="s">
        <v>15</v>
      </c>
      <c r="G453" s="13" t="s">
        <v>16</v>
      </c>
      <c r="H453" s="13" t="s">
        <v>16</v>
      </c>
      <c r="I453" s="13" t="s">
        <v>17</v>
      </c>
      <c r="J453" s="13" t="s">
        <v>17</v>
      </c>
      <c r="K453" s="13" t="s">
        <v>18</v>
      </c>
      <c r="L453" s="14" t="s">
        <v>19</v>
      </c>
      <c r="M453" s="14"/>
      <c r="N453" s="14" t="s">
        <v>20</v>
      </c>
      <c r="O453" s="14"/>
      <c r="P453" s="14" t="s">
        <v>21</v>
      </c>
      <c r="Q453" s="14"/>
      <c r="R453" s="48" t="s">
        <v>22</v>
      </c>
      <c r="S453" s="48" t="s">
        <v>23</v>
      </c>
      <c r="T453" s="49" t="s">
        <v>24</v>
      </c>
      <c r="U453" s="48" t="s">
        <v>25</v>
      </c>
      <c r="V453" s="13" t="s">
        <v>26</v>
      </c>
      <c r="X453" s="6"/>
      <c r="Y453" s="6"/>
      <c r="Z453" s="6"/>
      <c r="AA453" s="6"/>
      <c r="AB453" s="6"/>
      <c r="AC453" s="13"/>
      <c r="AD453" s="13"/>
      <c r="AE453" s="13" t="s">
        <v>136</v>
      </c>
      <c r="AF453" s="13" t="s">
        <v>137</v>
      </c>
      <c r="AG453" s="6"/>
      <c r="AH453" s="6"/>
      <c r="AI453" s="6"/>
    </row>
    <row r="454" spans="1:35" ht="16.5" x14ac:dyDescent="0.3">
      <c r="A454" s="28"/>
      <c r="B454" s="28"/>
      <c r="C454" s="26"/>
      <c r="D454" s="1" t="s">
        <v>30</v>
      </c>
      <c r="E454" s="13" t="s">
        <v>31</v>
      </c>
      <c r="F454" s="13" t="s">
        <v>32</v>
      </c>
      <c r="G454" s="13" t="s">
        <v>33</v>
      </c>
      <c r="H454" s="13" t="s">
        <v>34</v>
      </c>
      <c r="I454" s="13" t="s">
        <v>33</v>
      </c>
      <c r="J454" s="13" t="s">
        <v>33</v>
      </c>
      <c r="K454" s="13" t="s">
        <v>33</v>
      </c>
      <c r="L454" s="13" t="s">
        <v>33</v>
      </c>
      <c r="M454" s="13" t="s">
        <v>35</v>
      </c>
      <c r="N454" s="13" t="s">
        <v>33</v>
      </c>
      <c r="O454" s="13" t="s">
        <v>35</v>
      </c>
      <c r="P454" s="13" t="s">
        <v>33</v>
      </c>
      <c r="Q454" s="13" t="s">
        <v>35</v>
      </c>
      <c r="R454" s="13" t="s">
        <v>35</v>
      </c>
      <c r="S454" s="13" t="s">
        <v>35</v>
      </c>
      <c r="T454" s="13" t="s">
        <v>35</v>
      </c>
      <c r="U454" s="13" t="s">
        <v>35</v>
      </c>
      <c r="V454" s="13" t="s">
        <v>35</v>
      </c>
      <c r="X454" s="6"/>
      <c r="Y454" s="6"/>
      <c r="Z454" s="6"/>
      <c r="AA454" s="6"/>
      <c r="AB454" s="6"/>
      <c r="AC454" s="13" t="s">
        <v>31</v>
      </c>
      <c r="AD454" s="13"/>
      <c r="AE454" s="13" t="s">
        <v>138</v>
      </c>
      <c r="AF454" s="13" t="s">
        <v>139</v>
      </c>
      <c r="AG454" s="6"/>
      <c r="AH454" s="6" t="s">
        <v>260</v>
      </c>
      <c r="AI454" s="6"/>
    </row>
    <row r="455" spans="1:35" ht="16.5" x14ac:dyDescent="0.3">
      <c r="A455" s="28"/>
      <c r="B455" s="28"/>
      <c r="C455" s="26"/>
      <c r="D455" s="1"/>
      <c r="E455" s="20" t="s">
        <v>595</v>
      </c>
      <c r="F455" s="13" t="s">
        <v>37</v>
      </c>
      <c r="G455" s="13" t="s">
        <v>37</v>
      </c>
      <c r="H455" s="13" t="s">
        <v>37</v>
      </c>
      <c r="I455" s="13" t="s">
        <v>37</v>
      </c>
      <c r="J455" s="13" t="s">
        <v>37</v>
      </c>
      <c r="K455" s="13" t="s">
        <v>37</v>
      </c>
      <c r="L455" s="13" t="s">
        <v>37</v>
      </c>
      <c r="M455" s="13" t="s">
        <v>37</v>
      </c>
      <c r="N455" s="13" t="s">
        <v>37</v>
      </c>
      <c r="O455" s="13" t="s">
        <v>37</v>
      </c>
      <c r="P455" s="13" t="s">
        <v>37</v>
      </c>
      <c r="Q455" s="13" t="s">
        <v>37</v>
      </c>
      <c r="R455" s="13" t="s">
        <v>37</v>
      </c>
      <c r="S455" s="13" t="s">
        <v>37</v>
      </c>
      <c r="T455" s="13" t="s">
        <v>37</v>
      </c>
      <c r="U455" s="13" t="s">
        <v>37</v>
      </c>
      <c r="V455" s="13" t="s">
        <v>37</v>
      </c>
      <c r="X455" s="6"/>
      <c r="Y455" s="6"/>
      <c r="Z455" s="6"/>
      <c r="AA455" s="6"/>
      <c r="AB455" s="6"/>
      <c r="AC455" s="20" t="str">
        <f>IF(ISBLANK(E455),"",E455)</f>
        <v>Total Revenue Requirement</v>
      </c>
      <c r="AD455" s="6"/>
      <c r="AE455" s="13" t="s">
        <v>37</v>
      </c>
      <c r="AF455" s="13" t="s">
        <v>37</v>
      </c>
      <c r="AG455" s="6"/>
      <c r="AH455" s="6"/>
      <c r="AI455" s="6"/>
    </row>
    <row r="456" spans="1:35" ht="16.5" x14ac:dyDescent="0.3">
      <c r="A456" s="28"/>
      <c r="B456" s="28"/>
      <c r="C456" s="26"/>
      <c r="D456" s="1">
        <v>40</v>
      </c>
      <c r="E456" s="6" t="s">
        <v>224</v>
      </c>
      <c r="F456" s="22">
        <f>SUM(G456:AF456)</f>
        <v>574037013.76257324</v>
      </c>
      <c r="G456" s="22">
        <f>SUM(G400,G415,G430)</f>
        <v>276051356.06759566</v>
      </c>
      <c r="H456" s="22">
        <f t="shared" ref="G456:V458" si="140">SUM(H400,H415,H430)</f>
        <v>226952383.40183961</v>
      </c>
      <c r="I456" s="22">
        <f t="shared" si="140"/>
        <v>67479142.264135778</v>
      </c>
      <c r="J456" s="22">
        <f t="shared" si="140"/>
        <v>0</v>
      </c>
      <c r="K456" s="22">
        <f t="shared" si="140"/>
        <v>0</v>
      </c>
      <c r="L456" s="22">
        <f t="shared" si="140"/>
        <v>0</v>
      </c>
      <c r="M456" s="22">
        <f t="shared" si="140"/>
        <v>0</v>
      </c>
      <c r="N456" s="22">
        <f t="shared" si="140"/>
        <v>0</v>
      </c>
      <c r="O456" s="22">
        <f t="shared" si="140"/>
        <v>0</v>
      </c>
      <c r="P456" s="22">
        <f t="shared" si="140"/>
        <v>0</v>
      </c>
      <c r="Q456" s="22">
        <f t="shared" si="140"/>
        <v>0</v>
      </c>
      <c r="R456" s="22">
        <f t="shared" si="140"/>
        <v>0</v>
      </c>
      <c r="S456" s="22">
        <f t="shared" si="140"/>
        <v>0</v>
      </c>
      <c r="T456" s="22">
        <f t="shared" si="140"/>
        <v>0</v>
      </c>
      <c r="U456" s="22">
        <f t="shared" si="140"/>
        <v>0</v>
      </c>
      <c r="V456" s="22">
        <f t="shared" si="140"/>
        <v>2739449.9445818248</v>
      </c>
      <c r="X456" s="6"/>
      <c r="Y456" s="6"/>
      <c r="Z456" s="6"/>
      <c r="AA456" s="6"/>
      <c r="AB456" s="6"/>
      <c r="AC456" s="6" t="str">
        <f t="shared" ref="AC456:AC499" si="141">IF(ISBLANK(E456),"",E456)</f>
        <v>Newfoundland Power</v>
      </c>
      <c r="AD456" s="6"/>
      <c r="AE456" s="22">
        <f t="shared" ref="AE456:AF458" si="142">SUM(AE400,AE415,AE430)</f>
        <v>0</v>
      </c>
      <c r="AF456" s="22">
        <f t="shared" si="142"/>
        <v>814682.08442035457</v>
      </c>
      <c r="AG456" s="6"/>
      <c r="AH456" s="6"/>
      <c r="AI456" s="6"/>
    </row>
    <row r="457" spans="1:35" ht="16.5" x14ac:dyDescent="0.3">
      <c r="A457" s="28"/>
      <c r="B457" s="28"/>
      <c r="C457" s="26"/>
      <c r="D457" s="1">
        <v>41</v>
      </c>
      <c r="E457" s="17" t="s">
        <v>227</v>
      </c>
      <c r="F457" s="22">
        <f>SUM(G457:AF457)</f>
        <v>42815547.883037768</v>
      </c>
      <c r="G457" s="22">
        <f t="shared" si="140"/>
        <v>15495855.904132972</v>
      </c>
      <c r="H457" s="22">
        <f t="shared" si="140"/>
        <v>23144765.093132008</v>
      </c>
      <c r="I457" s="22">
        <f t="shared" si="140"/>
        <v>3688532.727329466</v>
      </c>
      <c r="J457" s="22">
        <f t="shared" si="140"/>
        <v>0</v>
      </c>
      <c r="K457" s="22">
        <f t="shared" si="140"/>
        <v>0</v>
      </c>
      <c r="L457" s="22">
        <f t="shared" si="140"/>
        <v>0</v>
      </c>
      <c r="M457" s="22">
        <f t="shared" si="140"/>
        <v>0</v>
      </c>
      <c r="N457" s="22">
        <f t="shared" si="140"/>
        <v>0</v>
      </c>
      <c r="O457" s="22">
        <f t="shared" si="140"/>
        <v>0</v>
      </c>
      <c r="P457" s="22">
        <f t="shared" si="140"/>
        <v>0</v>
      </c>
      <c r="Q457" s="22">
        <f t="shared" si="140"/>
        <v>0</v>
      </c>
      <c r="R457" s="22">
        <f t="shared" si="140"/>
        <v>0</v>
      </c>
      <c r="S457" s="22">
        <f t="shared" si="140"/>
        <v>0</v>
      </c>
      <c r="T457" s="22">
        <f t="shared" si="140"/>
        <v>0</v>
      </c>
      <c r="U457" s="22">
        <f t="shared" si="140"/>
        <v>0</v>
      </c>
      <c r="V457" s="22">
        <f t="shared" si="140"/>
        <v>412553.75679923163</v>
      </c>
      <c r="X457" s="6"/>
      <c r="Y457" s="6"/>
      <c r="Z457" s="6"/>
      <c r="AA457" s="6"/>
      <c r="AB457" s="6"/>
      <c r="AC457" s="17" t="str">
        <f t="shared" si="141"/>
        <v>Industrial - Firm</v>
      </c>
      <c r="AD457" s="6"/>
      <c r="AE457" s="22">
        <f t="shared" si="142"/>
        <v>0</v>
      </c>
      <c r="AF457" s="22">
        <f t="shared" si="142"/>
        <v>73840.40164409412</v>
      </c>
      <c r="AG457" s="6"/>
      <c r="AH457" s="6"/>
      <c r="AI457" s="6"/>
    </row>
    <row r="458" spans="1:35" ht="16.5" x14ac:dyDescent="0.3">
      <c r="A458" s="28"/>
      <c r="B458" s="28"/>
      <c r="C458" s="26"/>
      <c r="D458" s="1">
        <v>42</v>
      </c>
      <c r="E458" s="17" t="s">
        <v>229</v>
      </c>
      <c r="F458" s="22">
        <f>SUM(G458:AF458)</f>
        <v>0</v>
      </c>
      <c r="G458" s="22">
        <f t="shared" si="140"/>
        <v>0</v>
      </c>
      <c r="H458" s="22">
        <f t="shared" si="140"/>
        <v>0</v>
      </c>
      <c r="I458" s="22">
        <f t="shared" si="140"/>
        <v>0</v>
      </c>
      <c r="J458" s="22">
        <f t="shared" si="140"/>
        <v>0</v>
      </c>
      <c r="K458" s="22">
        <f t="shared" si="140"/>
        <v>0</v>
      </c>
      <c r="L458" s="22">
        <f t="shared" si="140"/>
        <v>0</v>
      </c>
      <c r="M458" s="22">
        <f t="shared" si="140"/>
        <v>0</v>
      </c>
      <c r="N458" s="22">
        <f t="shared" si="140"/>
        <v>0</v>
      </c>
      <c r="O458" s="22">
        <f t="shared" si="140"/>
        <v>0</v>
      </c>
      <c r="P458" s="22">
        <f t="shared" si="140"/>
        <v>0</v>
      </c>
      <c r="Q458" s="22">
        <f t="shared" si="140"/>
        <v>0</v>
      </c>
      <c r="R458" s="22">
        <f t="shared" si="140"/>
        <v>0</v>
      </c>
      <c r="S458" s="22">
        <f t="shared" si="140"/>
        <v>0</v>
      </c>
      <c r="T458" s="22">
        <f t="shared" si="140"/>
        <v>0</v>
      </c>
      <c r="U458" s="22">
        <f t="shared" si="140"/>
        <v>0</v>
      </c>
      <c r="V458" s="22">
        <f t="shared" si="140"/>
        <v>0</v>
      </c>
      <c r="X458" s="6"/>
      <c r="Y458" s="6"/>
      <c r="Z458" s="6"/>
      <c r="AA458" s="6"/>
      <c r="AB458" s="6"/>
      <c r="AC458" s="17" t="str">
        <f t="shared" si="141"/>
        <v>Industrial - Non-Firm</v>
      </c>
      <c r="AD458" s="6"/>
      <c r="AE458" s="22">
        <f t="shared" si="142"/>
        <v>0</v>
      </c>
      <c r="AF458" s="22">
        <f t="shared" si="142"/>
        <v>0</v>
      </c>
      <c r="AG458" s="6"/>
      <c r="AH458" s="6"/>
      <c r="AI458" s="6"/>
    </row>
    <row r="459" spans="1:35" ht="16.5" x14ac:dyDescent="0.3">
      <c r="A459" s="28"/>
      <c r="B459" s="28"/>
      <c r="C459" s="26"/>
      <c r="D459" s="1"/>
      <c r="E459" s="20" t="s">
        <v>230</v>
      </c>
      <c r="F459" s="22"/>
      <c r="G459" s="22" t="s">
        <v>39</v>
      </c>
      <c r="H459" s="22" t="s">
        <v>39</v>
      </c>
      <c r="I459" s="22" t="s">
        <v>39</v>
      </c>
      <c r="J459" s="22" t="s">
        <v>39</v>
      </c>
      <c r="K459" s="22" t="s">
        <v>39</v>
      </c>
      <c r="L459" s="22" t="s">
        <v>39</v>
      </c>
      <c r="M459" s="22" t="s">
        <v>39</v>
      </c>
      <c r="N459" s="22" t="s">
        <v>39</v>
      </c>
      <c r="O459" s="22" t="s">
        <v>39</v>
      </c>
      <c r="P459" s="22" t="s">
        <v>39</v>
      </c>
      <c r="Q459" s="22" t="s">
        <v>39</v>
      </c>
      <c r="R459" s="22" t="s">
        <v>39</v>
      </c>
      <c r="S459" s="22" t="s">
        <v>39</v>
      </c>
      <c r="T459" s="22" t="s">
        <v>39</v>
      </c>
      <c r="U459" s="22" t="s">
        <v>39</v>
      </c>
      <c r="V459" s="22" t="s">
        <v>39</v>
      </c>
      <c r="X459" s="6"/>
      <c r="Y459" s="6"/>
      <c r="Z459" s="6"/>
      <c r="AA459" s="6"/>
      <c r="AB459" s="6"/>
      <c r="AC459" s="20" t="str">
        <f t="shared" si="141"/>
        <v>Rural</v>
      </c>
      <c r="AD459" s="6"/>
      <c r="AE459" s="22" t="s">
        <v>39</v>
      </c>
      <c r="AF459" s="22" t="s">
        <v>39</v>
      </c>
      <c r="AG459" s="6"/>
      <c r="AH459" s="6"/>
      <c r="AI459" s="6"/>
    </row>
    <row r="460" spans="1:35" ht="16.5" x14ac:dyDescent="0.3">
      <c r="A460" s="28"/>
      <c r="B460" s="28"/>
      <c r="C460" s="26"/>
      <c r="D460" s="1">
        <f t="shared" ref="D460:D469" si="143">MAX(D457:D459)+NoOne</f>
        <v>43</v>
      </c>
      <c r="E460" s="17" t="s">
        <v>232</v>
      </c>
      <c r="F460" s="22">
        <f t="shared" ref="F460:F467" si="144">SUM(G460:AF460)</f>
        <v>28157866.627418507</v>
      </c>
      <c r="G460" s="22">
        <f>SUM(G404,G419,G434)</f>
        <v>6249170.1562364865</v>
      </c>
      <c r="H460" s="22">
        <f>SUM(H404,H419,H434)</f>
        <v>4469986.6507680584</v>
      </c>
      <c r="I460" s="22">
        <f t="shared" ref="G460:V467" si="145">SUM(I404,I419,I434)</f>
        <v>1487511.8084817135</v>
      </c>
      <c r="J460" s="22">
        <f t="shared" si="145"/>
        <v>3158534.2405549535</v>
      </c>
      <c r="K460" s="22">
        <f t="shared" si="145"/>
        <v>2561744.8976141308</v>
      </c>
      <c r="L460" s="22">
        <f t="shared" si="145"/>
        <v>3479162.6945333565</v>
      </c>
      <c r="M460" s="22">
        <f t="shared" si="145"/>
        <v>1399461.371099384</v>
      </c>
      <c r="N460" s="22">
        <f t="shared" si="145"/>
        <v>341774.44262594299</v>
      </c>
      <c r="O460" s="22">
        <f t="shared" si="145"/>
        <v>854932.95567732689</v>
      </c>
      <c r="P460" s="22">
        <f t="shared" si="145"/>
        <v>512385.82063094509</v>
      </c>
      <c r="Q460" s="22">
        <f t="shared" si="145"/>
        <v>825647.39798326686</v>
      </c>
      <c r="R460" s="22">
        <f t="shared" si="145"/>
        <v>155454.54474464402</v>
      </c>
      <c r="S460" s="22">
        <f t="shared" si="145"/>
        <v>525760.67940065206</v>
      </c>
      <c r="T460" s="22">
        <f t="shared" si="145"/>
        <v>0</v>
      </c>
      <c r="U460" s="22">
        <f t="shared" si="145"/>
        <v>1729173.4947743851</v>
      </c>
      <c r="V460" s="22">
        <f t="shared" si="145"/>
        <v>0</v>
      </c>
      <c r="X460" s="6"/>
      <c r="Y460" s="6"/>
      <c r="Z460" s="6"/>
      <c r="AA460" s="6"/>
      <c r="AB460" s="6"/>
      <c r="AC460" s="17" t="str">
        <f t="shared" si="141"/>
        <v>1.1 Domestic</v>
      </c>
      <c r="AD460" s="6"/>
      <c r="AE460" s="22">
        <f t="shared" ref="AE460:AF467" si="146">SUM(AE404,AE419,AE434)</f>
        <v>384122.60818268097</v>
      </c>
      <c r="AF460" s="22">
        <f t="shared" si="146"/>
        <v>23042.864110577801</v>
      </c>
      <c r="AG460" s="6"/>
      <c r="AH460" s="6"/>
      <c r="AI460" s="6"/>
    </row>
    <row r="461" spans="1:35" ht="16.5" x14ac:dyDescent="0.3">
      <c r="A461" s="28"/>
      <c r="B461" s="28"/>
      <c r="C461" s="26"/>
      <c r="D461" s="1">
        <f t="shared" si="143"/>
        <v>44</v>
      </c>
      <c r="E461" s="17" t="s">
        <v>234</v>
      </c>
      <c r="F461" s="22">
        <f t="shared" si="144"/>
        <v>31353542.569406468</v>
      </c>
      <c r="G461" s="22">
        <f t="shared" si="145"/>
        <v>7253432.6755979657</v>
      </c>
      <c r="H461" s="22">
        <f t="shared" si="145"/>
        <v>6026449.9649777059</v>
      </c>
      <c r="I461" s="22">
        <f t="shared" si="145"/>
        <v>1726559.9251144431</v>
      </c>
      <c r="J461" s="22">
        <f t="shared" si="145"/>
        <v>3666121.2440459137</v>
      </c>
      <c r="K461" s="22">
        <f t="shared" si="145"/>
        <v>2973425.8601291198</v>
      </c>
      <c r="L461" s="22">
        <f t="shared" si="145"/>
        <v>4038275.7616329351</v>
      </c>
      <c r="M461" s="22">
        <f t="shared" si="145"/>
        <v>1060941.0111318845</v>
      </c>
      <c r="N461" s="22">
        <f t="shared" si="145"/>
        <v>396698.73724806332</v>
      </c>
      <c r="O461" s="22">
        <f t="shared" si="145"/>
        <v>648130.38300137571</v>
      </c>
      <c r="P461" s="22">
        <f t="shared" si="145"/>
        <v>594727.9336230848</v>
      </c>
      <c r="Q461" s="22">
        <f t="shared" si="145"/>
        <v>625928.80614249525</v>
      </c>
      <c r="R461" s="22">
        <f t="shared" si="145"/>
        <v>117851.12850729551</v>
      </c>
      <c r="S461" s="22">
        <f t="shared" si="145"/>
        <v>398582.68212042109</v>
      </c>
      <c r="T461" s="22">
        <f t="shared" si="145"/>
        <v>0</v>
      </c>
      <c r="U461" s="22">
        <f t="shared" si="145"/>
        <v>1310897.9739306492</v>
      </c>
      <c r="V461" s="22">
        <f t="shared" si="145"/>
        <v>0</v>
      </c>
      <c r="X461" s="6"/>
      <c r="Y461" s="6"/>
      <c r="Z461" s="6"/>
      <c r="AA461" s="6"/>
      <c r="AB461" s="6"/>
      <c r="AC461" s="17" t="str">
        <f t="shared" si="141"/>
        <v xml:space="preserve">1.12 Domestic All Electric </v>
      </c>
      <c r="AD461" s="6"/>
      <c r="AE461" s="22">
        <f>SUM(AE405,AE420,AE435)</f>
        <v>486343.55667470931</v>
      </c>
      <c r="AF461" s="22">
        <f t="shared" si="146"/>
        <v>29174.925528415435</v>
      </c>
      <c r="AG461" s="6"/>
      <c r="AH461" s="6"/>
      <c r="AI461" s="6"/>
    </row>
    <row r="462" spans="1:35" ht="16.5" x14ac:dyDescent="0.3">
      <c r="A462" s="28"/>
      <c r="B462" s="28"/>
      <c r="C462" s="26"/>
      <c r="D462" s="1">
        <f t="shared" si="143"/>
        <v>45</v>
      </c>
      <c r="E462" s="17" t="s">
        <v>236</v>
      </c>
      <c r="F462" s="22">
        <f t="shared" si="144"/>
        <v>86780.054105246716</v>
      </c>
      <c r="G462" s="22">
        <f t="shared" si="145"/>
        <v>25136.487373767661</v>
      </c>
      <c r="H462" s="22">
        <f t="shared" si="145"/>
        <v>14172.078014696566</v>
      </c>
      <c r="I462" s="22">
        <f t="shared" si="145"/>
        <v>5983.3259228692878</v>
      </c>
      <c r="J462" s="22">
        <f t="shared" si="145"/>
        <v>12704.79984899901</v>
      </c>
      <c r="K462" s="22">
        <f t="shared" si="145"/>
        <v>10304.291076060517</v>
      </c>
      <c r="L462" s="22">
        <f t="shared" si="145"/>
        <v>13994.486780799967</v>
      </c>
      <c r="M462" s="22">
        <f t="shared" si="145"/>
        <v>121.7568913636654</v>
      </c>
      <c r="N462" s="22">
        <f t="shared" si="145"/>
        <v>1374.7439655119526</v>
      </c>
      <c r="O462" s="22">
        <f t="shared" si="145"/>
        <v>74.381459293762333</v>
      </c>
      <c r="P462" s="22">
        <f t="shared" si="145"/>
        <v>2061.0064038557016</v>
      </c>
      <c r="Q462" s="22">
        <f t="shared" si="145"/>
        <v>71.833537257244203</v>
      </c>
      <c r="R462" s="22">
        <f t="shared" si="145"/>
        <v>13.524962179979688</v>
      </c>
      <c r="S462" s="22">
        <f t="shared" si="145"/>
        <v>45.742588718103335</v>
      </c>
      <c r="T462" s="22">
        <f t="shared" si="145"/>
        <v>0</v>
      </c>
      <c r="U462" s="22">
        <f t="shared" si="145"/>
        <v>150.44273011035676</v>
      </c>
      <c r="V462" s="22">
        <f t="shared" si="145"/>
        <v>0</v>
      </c>
      <c r="X462" s="6"/>
      <c r="Y462" s="6"/>
      <c r="Z462" s="6"/>
      <c r="AA462" s="6"/>
      <c r="AB462" s="6"/>
      <c r="AC462" s="17" t="str">
        <f t="shared" si="141"/>
        <v>1.3 Special</v>
      </c>
      <c r="AD462" s="6"/>
      <c r="AE462" s="22">
        <f t="shared" si="146"/>
        <v>538.82910515338892</v>
      </c>
      <c r="AF462" s="22">
        <f t="shared" si="146"/>
        <v>32.323444609563047</v>
      </c>
      <c r="AG462" s="6"/>
      <c r="AH462" s="6"/>
      <c r="AI462" s="6"/>
    </row>
    <row r="463" spans="1:35" ht="16.5" x14ac:dyDescent="0.3">
      <c r="A463" s="28"/>
      <c r="B463" s="28"/>
      <c r="C463" s="26"/>
      <c r="D463" s="1">
        <f t="shared" si="143"/>
        <v>46</v>
      </c>
      <c r="E463" s="17" t="s">
        <v>238</v>
      </c>
      <c r="F463" s="22">
        <f t="shared" si="144"/>
        <v>13595526.704859242</v>
      </c>
      <c r="G463" s="22">
        <f t="shared" si="145"/>
        <v>2876811.1311482489</v>
      </c>
      <c r="H463" s="22">
        <f t="shared" si="145"/>
        <v>2992040.0414232202</v>
      </c>
      <c r="I463" s="22">
        <f t="shared" si="145"/>
        <v>684777.40585828805</v>
      </c>
      <c r="J463" s="22">
        <f t="shared" si="145"/>
        <v>1454034.0931944866</v>
      </c>
      <c r="K463" s="22">
        <f t="shared" si="145"/>
        <v>1179301.5796287546</v>
      </c>
      <c r="L463" s="22">
        <f t="shared" si="145"/>
        <v>1601635.6918559354</v>
      </c>
      <c r="M463" s="22">
        <f t="shared" si="145"/>
        <v>370323.58508258825</v>
      </c>
      <c r="N463" s="22">
        <f t="shared" si="145"/>
        <v>157336.17365292509</v>
      </c>
      <c r="O463" s="22">
        <f t="shared" si="145"/>
        <v>226231.20844197817</v>
      </c>
      <c r="P463" s="22">
        <f t="shared" si="145"/>
        <v>235877.2757631806</v>
      </c>
      <c r="Q463" s="22">
        <f t="shared" si="145"/>
        <v>218481.70356790826</v>
      </c>
      <c r="R463" s="22">
        <f t="shared" si="145"/>
        <v>196224.69226762283</v>
      </c>
      <c r="S463" s="22">
        <f t="shared" si="145"/>
        <v>663648.83504226862</v>
      </c>
      <c r="T463" s="22">
        <f t="shared" si="145"/>
        <v>0</v>
      </c>
      <c r="U463" s="22">
        <f t="shared" si="145"/>
        <v>457571.56363065005</v>
      </c>
      <c r="V463" s="22">
        <f t="shared" si="145"/>
        <v>0</v>
      </c>
      <c r="X463" s="6"/>
      <c r="Y463" s="6"/>
      <c r="Z463" s="6"/>
      <c r="AA463" s="6"/>
      <c r="AB463" s="6"/>
      <c r="AC463" s="17" t="str">
        <f t="shared" si="141"/>
        <v>2.1 GS 0-10 kW</v>
      </c>
      <c r="AD463" s="6"/>
      <c r="AE463" s="22">
        <f t="shared" si="146"/>
        <v>265315.8747323213</v>
      </c>
      <c r="AF463" s="22">
        <f t="shared" si="146"/>
        <v>15915.849568865882</v>
      </c>
      <c r="AG463" s="6"/>
      <c r="AH463" s="6"/>
      <c r="AI463" s="6"/>
    </row>
    <row r="464" spans="1:35" ht="16.5" x14ac:dyDescent="0.3">
      <c r="A464" s="28"/>
      <c r="B464" s="28"/>
      <c r="C464" s="26"/>
      <c r="D464" s="1">
        <f t="shared" si="143"/>
        <v>47</v>
      </c>
      <c r="E464" s="17" t="s">
        <v>240</v>
      </c>
      <c r="F464" s="22">
        <f t="shared" si="144"/>
        <v>0</v>
      </c>
      <c r="G464" s="22">
        <f t="shared" si="145"/>
        <v>0</v>
      </c>
      <c r="H464" s="22">
        <f t="shared" si="145"/>
        <v>0</v>
      </c>
      <c r="I464" s="22">
        <f t="shared" si="145"/>
        <v>0</v>
      </c>
      <c r="J464" s="22">
        <f t="shared" si="145"/>
        <v>0</v>
      </c>
      <c r="K464" s="22">
        <f t="shared" si="145"/>
        <v>0</v>
      </c>
      <c r="L464" s="22">
        <f t="shared" si="145"/>
        <v>0</v>
      </c>
      <c r="M464" s="22">
        <f t="shared" si="145"/>
        <v>0</v>
      </c>
      <c r="N464" s="22">
        <f t="shared" si="145"/>
        <v>0</v>
      </c>
      <c r="O464" s="22">
        <f t="shared" si="145"/>
        <v>0</v>
      </c>
      <c r="P464" s="22">
        <f t="shared" si="145"/>
        <v>0</v>
      </c>
      <c r="Q464" s="22">
        <f t="shared" si="145"/>
        <v>0</v>
      </c>
      <c r="R464" s="22">
        <f t="shared" si="145"/>
        <v>0</v>
      </c>
      <c r="S464" s="22">
        <f t="shared" si="145"/>
        <v>0</v>
      </c>
      <c r="T464" s="22">
        <f t="shared" si="145"/>
        <v>0</v>
      </c>
      <c r="U464" s="22">
        <f t="shared" si="145"/>
        <v>0</v>
      </c>
      <c r="V464" s="22">
        <f t="shared" si="145"/>
        <v>0</v>
      </c>
      <c r="X464" s="6"/>
      <c r="Y464" s="6"/>
      <c r="Z464" s="6"/>
      <c r="AA464" s="6"/>
      <c r="AB464" s="6"/>
      <c r="AC464" s="17" t="str">
        <f t="shared" si="141"/>
        <v>2.2 GS 10-100 kW</v>
      </c>
      <c r="AD464" s="6"/>
      <c r="AE464" s="22">
        <f t="shared" si="146"/>
        <v>0</v>
      </c>
      <c r="AF464" s="22">
        <f t="shared" si="146"/>
        <v>0</v>
      </c>
      <c r="AG464" s="6"/>
      <c r="AH464" s="6"/>
      <c r="AI464" s="6"/>
    </row>
    <row r="465" spans="1:35" ht="16.5" x14ac:dyDescent="0.3">
      <c r="A465" s="28"/>
      <c r="B465" s="28"/>
      <c r="C465" s="26"/>
      <c r="D465" s="1">
        <f t="shared" si="143"/>
        <v>48</v>
      </c>
      <c r="E465" s="17" t="s">
        <v>242</v>
      </c>
      <c r="F465" s="22">
        <f t="shared" si="144"/>
        <v>7883735.5616690209</v>
      </c>
      <c r="G465" s="22">
        <f t="shared" si="145"/>
        <v>1902396.6069140201</v>
      </c>
      <c r="H465" s="22">
        <f t="shared" si="145"/>
        <v>2227781.2663310682</v>
      </c>
      <c r="I465" s="22">
        <f t="shared" si="145"/>
        <v>452834.11180219753</v>
      </c>
      <c r="J465" s="22">
        <f t="shared" si="145"/>
        <v>961533.23910646047</v>
      </c>
      <c r="K465" s="22">
        <f t="shared" si="145"/>
        <v>779856.31358379044</v>
      </c>
      <c r="L465" s="22">
        <f t="shared" si="145"/>
        <v>1059140.1961389675</v>
      </c>
      <c r="M465" s="22">
        <f t="shared" si="145"/>
        <v>10166.700428866063</v>
      </c>
      <c r="N465" s="22">
        <f t="shared" si="145"/>
        <v>96477.66040589007</v>
      </c>
      <c r="O465" s="22">
        <f t="shared" si="145"/>
        <v>6210.851851029156</v>
      </c>
      <c r="P465" s="22">
        <f t="shared" si="145"/>
        <v>144638.62429212916</v>
      </c>
      <c r="Q465" s="22">
        <f t="shared" si="145"/>
        <v>5998.1003609798909</v>
      </c>
      <c r="R465" s="22">
        <f t="shared" si="145"/>
        <v>9508.3531954945902</v>
      </c>
      <c r="S465" s="22">
        <f t="shared" si="145"/>
        <v>32158.07067111709</v>
      </c>
      <c r="T465" s="22">
        <f t="shared" si="145"/>
        <v>0</v>
      </c>
      <c r="U465" s="22">
        <f t="shared" si="145"/>
        <v>12561.967964214789</v>
      </c>
      <c r="V465" s="22">
        <f t="shared" si="145"/>
        <v>0</v>
      </c>
      <c r="X465" s="6"/>
      <c r="Y465" s="6"/>
      <c r="Z465" s="6"/>
      <c r="AA465" s="6"/>
      <c r="AB465" s="6"/>
      <c r="AC465" s="17" t="str">
        <f t="shared" si="141"/>
        <v>2.3 GS 110-1,000 kVa</v>
      </c>
      <c r="AD465" s="6"/>
      <c r="AE465" s="22">
        <f t="shared" si="146"/>
        <v>172146.70934750428</v>
      </c>
      <c r="AF465" s="22">
        <f t="shared" si="146"/>
        <v>10326.78927529089</v>
      </c>
      <c r="AG465" s="6"/>
      <c r="AH465" s="6"/>
      <c r="AI465" s="6"/>
    </row>
    <row r="466" spans="1:35" ht="16.5" x14ac:dyDescent="0.3">
      <c r="A466" s="28"/>
      <c r="B466" s="28"/>
      <c r="C466" s="26"/>
      <c r="D466" s="1">
        <f t="shared" si="143"/>
        <v>49</v>
      </c>
      <c r="E466" s="17" t="s">
        <v>244</v>
      </c>
      <c r="F466" s="22">
        <f t="shared" si="144"/>
        <v>4783801.5014610942</v>
      </c>
      <c r="G466" s="22">
        <f t="shared" si="145"/>
        <v>1110541.6044811113</v>
      </c>
      <c r="H466" s="22">
        <f t="shared" si="145"/>
        <v>1603061.012692197</v>
      </c>
      <c r="I466" s="22">
        <f t="shared" si="145"/>
        <v>264346.09862995823</v>
      </c>
      <c r="J466" s="22">
        <f t="shared" si="145"/>
        <v>561303.91645902977</v>
      </c>
      <c r="K466" s="22">
        <f t="shared" si="145"/>
        <v>455248.33181707293</v>
      </c>
      <c r="L466" s="22">
        <f t="shared" si="145"/>
        <v>618282.87987677637</v>
      </c>
      <c r="M466" s="22">
        <f t="shared" si="145"/>
        <v>974.05513090932322</v>
      </c>
      <c r="N466" s="22">
        <f t="shared" si="145"/>
        <v>25067.953664753801</v>
      </c>
      <c r="O466" s="22">
        <f t="shared" si="145"/>
        <v>595.05167435009866</v>
      </c>
      <c r="P466" s="22">
        <f t="shared" si="145"/>
        <v>37581.698360374721</v>
      </c>
      <c r="Q466" s="22">
        <f t="shared" si="145"/>
        <v>574.66829805795362</v>
      </c>
      <c r="R466" s="22">
        <f t="shared" si="145"/>
        <v>910.97994687373341</v>
      </c>
      <c r="S466" s="22">
        <f t="shared" si="145"/>
        <v>3081.0127589094222</v>
      </c>
      <c r="T466" s="22">
        <f t="shared" si="145"/>
        <v>0</v>
      </c>
      <c r="U466" s="22">
        <f t="shared" si="145"/>
        <v>1203.5418408828541</v>
      </c>
      <c r="V466" s="22">
        <f t="shared" si="145"/>
        <v>0</v>
      </c>
      <c r="X466" s="6"/>
      <c r="Y466" s="6"/>
      <c r="Z466" s="6"/>
      <c r="AA466" s="6"/>
      <c r="AB466" s="6"/>
      <c r="AC466" s="17" t="str">
        <f t="shared" si="141"/>
        <v>2.4 GS Over 1,000 kVa</v>
      </c>
      <c r="AD466" s="6"/>
      <c r="AE466" s="22">
        <f t="shared" si="146"/>
        <v>95311.141990695411</v>
      </c>
      <c r="AF466" s="22">
        <f t="shared" si="146"/>
        <v>5717.5538391405789</v>
      </c>
      <c r="AG466" s="6"/>
      <c r="AH466" s="6"/>
      <c r="AI466" s="6"/>
    </row>
    <row r="467" spans="1:35" ht="16.5" x14ac:dyDescent="0.3">
      <c r="A467" s="28"/>
      <c r="B467" s="28"/>
      <c r="C467" s="26"/>
      <c r="D467" s="1">
        <f t="shared" si="143"/>
        <v>50</v>
      </c>
      <c r="E467" s="17" t="s">
        <v>246</v>
      </c>
      <c r="F467" s="34">
        <f t="shared" si="144"/>
        <v>1454176.1955217286</v>
      </c>
      <c r="G467" s="22">
        <f t="shared" si="145"/>
        <v>119025.3378112161</v>
      </c>
      <c r="H467" s="22">
        <f t="shared" si="145"/>
        <v>85312.634378547911</v>
      </c>
      <c r="I467" s="22">
        <f t="shared" si="145"/>
        <v>28332.017064060361</v>
      </c>
      <c r="J467" s="22">
        <f t="shared" si="145"/>
        <v>60159.284444377554</v>
      </c>
      <c r="K467" s="22">
        <f t="shared" si="145"/>
        <v>48792.486714477978</v>
      </c>
      <c r="L467" s="22">
        <f t="shared" si="145"/>
        <v>66266.160892377899</v>
      </c>
      <c r="M467" s="22">
        <f t="shared" si="145"/>
        <v>128636.1557257125</v>
      </c>
      <c r="N467" s="22">
        <f t="shared" si="145"/>
        <v>6509.6352750445903</v>
      </c>
      <c r="O467" s="22">
        <f t="shared" si="145"/>
        <v>78584.011743859912</v>
      </c>
      <c r="P467" s="22">
        <f t="shared" si="145"/>
        <v>9759.1990401177191</v>
      </c>
      <c r="Q467" s="22">
        <f t="shared" si="145"/>
        <v>75892.132112278501</v>
      </c>
      <c r="R467" s="22">
        <f t="shared" si="145"/>
        <v>0</v>
      </c>
      <c r="S467" s="22">
        <f t="shared" si="145"/>
        <v>0</v>
      </c>
      <c r="T467" s="22">
        <f t="shared" si="145"/>
        <v>558440.70258938998</v>
      </c>
      <c r="U467" s="22">
        <f t="shared" si="145"/>
        <v>158942.7443615919</v>
      </c>
      <c r="V467" s="22">
        <f t="shared" si="145"/>
        <v>0</v>
      </c>
      <c r="X467" s="6"/>
      <c r="Y467" s="6"/>
      <c r="Z467" s="6"/>
      <c r="AA467" s="6"/>
      <c r="AB467" s="6"/>
      <c r="AC467" s="17" t="str">
        <f t="shared" si="141"/>
        <v>4.1 Street and Area Lighting</v>
      </c>
      <c r="AD467" s="6"/>
      <c r="AE467" s="22">
        <f t="shared" si="146"/>
        <v>27852.848219392701</v>
      </c>
      <c r="AF467" s="22">
        <f t="shared" si="146"/>
        <v>1670.8451492831248</v>
      </c>
      <c r="AG467" s="6"/>
      <c r="AH467" s="6"/>
      <c r="AI467" s="6"/>
    </row>
    <row r="468" spans="1:35" ht="16.5" x14ac:dyDescent="0.3">
      <c r="A468" s="28">
        <f>(SUM(G468:AF468)-F468)*1000</f>
        <v>1.4901161193847656E-5</v>
      </c>
      <c r="B468" s="28"/>
      <c r="C468" s="29"/>
      <c r="D468" s="1">
        <f t="shared" si="143"/>
        <v>51</v>
      </c>
      <c r="E468" s="20" t="s">
        <v>247</v>
      </c>
      <c r="F468" s="30">
        <f>SUM(F460:F467)</f>
        <v>87315429.214441299</v>
      </c>
      <c r="G468" s="30">
        <f>SUM(G460:G467)</f>
        <v>19536513.999562819</v>
      </c>
      <c r="H468" s="30">
        <f>SUM(H460:H467)</f>
        <v>17418803.648585495</v>
      </c>
      <c r="I468" s="30">
        <f>SUM(I460:I467)</f>
        <v>4650344.6928735292</v>
      </c>
      <c r="J468" s="30">
        <f t="shared" ref="J468:V468" si="147">SUM(J460:J467)</f>
        <v>9874390.8176542204</v>
      </c>
      <c r="K468" s="30">
        <f t="shared" si="147"/>
        <v>8008673.7605634062</v>
      </c>
      <c r="L468" s="30">
        <f t="shared" si="147"/>
        <v>10876757.871711148</v>
      </c>
      <c r="M468" s="30">
        <f t="shared" si="147"/>
        <v>2970624.6354907081</v>
      </c>
      <c r="N468" s="30">
        <f t="shared" si="147"/>
        <v>1025239.3468381318</v>
      </c>
      <c r="O468" s="30">
        <f t="shared" si="147"/>
        <v>1814758.8438492136</v>
      </c>
      <c r="P468" s="30">
        <f t="shared" si="147"/>
        <v>1537031.5581136877</v>
      </c>
      <c r="Q468" s="30">
        <f t="shared" si="147"/>
        <v>1752594.6420022438</v>
      </c>
      <c r="R468" s="30">
        <f t="shared" si="147"/>
        <v>479963.22362411063</v>
      </c>
      <c r="S468" s="30">
        <f t="shared" si="147"/>
        <v>1623277.0225820865</v>
      </c>
      <c r="T468" s="30">
        <f t="shared" si="147"/>
        <v>558440.70258938998</v>
      </c>
      <c r="U468" s="30">
        <f t="shared" si="147"/>
        <v>3670501.7292324845</v>
      </c>
      <c r="V468" s="30">
        <f t="shared" si="147"/>
        <v>0</v>
      </c>
      <c r="X468" s="6"/>
      <c r="Y468" s="6"/>
      <c r="Z468" s="6"/>
      <c r="AA468" s="6"/>
      <c r="AB468" s="6"/>
      <c r="AC468" s="20" t="str">
        <f t="shared" si="141"/>
        <v xml:space="preserve">    Subtotal Rural</v>
      </c>
      <c r="AD468" s="6"/>
      <c r="AE468" s="30">
        <f>SUM(AE460:AE467)</f>
        <v>1431631.5682524573</v>
      </c>
      <c r="AF468" s="30">
        <f>SUM(AF460:AF467)</f>
        <v>85881.15091618328</v>
      </c>
      <c r="AG468" s="6"/>
      <c r="AH468" s="6"/>
      <c r="AI468" s="6"/>
    </row>
    <row r="469" spans="1:35" ht="17.25" thickBot="1" x14ac:dyDescent="0.35">
      <c r="A469" s="28">
        <f>(SUM(G469:AF469)-F469)*1000</f>
        <v>-1.1920928955078125E-4</v>
      </c>
      <c r="B469" s="28"/>
      <c r="C469" s="29"/>
      <c r="D469" s="1">
        <f t="shared" si="143"/>
        <v>52</v>
      </c>
      <c r="E469" s="20" t="s">
        <v>248</v>
      </c>
      <c r="F469" s="55">
        <f>SUM(F468,F456:F458)</f>
        <v>704167990.86005235</v>
      </c>
      <c r="G469" s="55">
        <f>SUM(G468,G456:G458)</f>
        <v>311083725.97129142</v>
      </c>
      <c r="H469" s="55">
        <f>SUM(H468,H456:H458)</f>
        <v>267515952.14355713</v>
      </c>
      <c r="I469" s="55">
        <f>SUM(I468,I456:I458)</f>
        <v>75818019.684338763</v>
      </c>
      <c r="J469" s="55">
        <f t="shared" ref="J469:V469" si="148">SUM(J468,J456:J458)</f>
        <v>9874390.8176542204</v>
      </c>
      <c r="K469" s="55">
        <f t="shared" si="148"/>
        <v>8008673.7605634062</v>
      </c>
      <c r="L469" s="55">
        <f t="shared" si="148"/>
        <v>10876757.871711148</v>
      </c>
      <c r="M469" s="55">
        <f t="shared" si="148"/>
        <v>2970624.6354907081</v>
      </c>
      <c r="N469" s="55">
        <f t="shared" si="148"/>
        <v>1025239.3468381318</v>
      </c>
      <c r="O469" s="55">
        <f t="shared" si="148"/>
        <v>1814758.8438492136</v>
      </c>
      <c r="P469" s="55">
        <f t="shared" si="148"/>
        <v>1537031.5581136877</v>
      </c>
      <c r="Q469" s="55">
        <f t="shared" si="148"/>
        <v>1752594.6420022438</v>
      </c>
      <c r="R469" s="55">
        <f t="shared" si="148"/>
        <v>479963.22362411063</v>
      </c>
      <c r="S469" s="55">
        <f t="shared" si="148"/>
        <v>1623277.0225820865</v>
      </c>
      <c r="T469" s="55">
        <f t="shared" si="148"/>
        <v>558440.70258938998</v>
      </c>
      <c r="U469" s="55">
        <f t="shared" si="148"/>
        <v>3670501.7292324845</v>
      </c>
      <c r="V469" s="55">
        <f t="shared" si="148"/>
        <v>3152003.7013810566</v>
      </c>
      <c r="X469" s="6"/>
      <c r="Y469" s="6"/>
      <c r="Z469" s="6"/>
      <c r="AA469" s="6"/>
      <c r="AB469" s="6"/>
      <c r="AC469" s="20" t="str">
        <f t="shared" si="141"/>
        <v xml:space="preserve">      Total</v>
      </c>
      <c r="AD469" s="6"/>
      <c r="AE469" s="55">
        <f>SUM(AE468,AE456:AE458)</f>
        <v>1431631.5682524573</v>
      </c>
      <c r="AF469" s="55">
        <f>SUM(AF468,AF456:AF458)</f>
        <v>974403.63698063197</v>
      </c>
      <c r="AG469" s="6"/>
      <c r="AH469" s="6"/>
      <c r="AI469" s="6"/>
    </row>
    <row r="470" spans="1:35" ht="17.25" thickTop="1" x14ac:dyDescent="0.3">
      <c r="A470" s="28"/>
      <c r="B470" s="28"/>
      <c r="C470" s="29"/>
      <c r="D470" s="1"/>
      <c r="E470" s="20" t="s">
        <v>261</v>
      </c>
      <c r="F470" s="64"/>
      <c r="G470" s="64"/>
      <c r="H470" s="64"/>
      <c r="I470" s="64"/>
      <c r="J470" s="64"/>
      <c r="K470" s="64"/>
      <c r="L470" s="64"/>
      <c r="M470" s="64"/>
      <c r="N470" s="64"/>
      <c r="O470" s="64"/>
      <c r="P470" s="64"/>
      <c r="Q470" s="64"/>
      <c r="R470" s="64"/>
      <c r="S470" s="64"/>
      <c r="T470" s="64"/>
      <c r="U470" s="64"/>
      <c r="V470" s="64"/>
      <c r="X470" s="6"/>
      <c r="Y470" s="6"/>
      <c r="Z470" s="1"/>
      <c r="AA470" s="6"/>
      <c r="AB470" s="6"/>
      <c r="AC470" s="20" t="str">
        <f t="shared" si="141"/>
        <v>Re-classification of Revenue-Related</v>
      </c>
      <c r="AD470" s="6"/>
      <c r="AE470" s="64"/>
      <c r="AF470" s="64"/>
      <c r="AG470" s="6"/>
      <c r="AH470" s="6"/>
      <c r="AI470" s="6"/>
    </row>
    <row r="471" spans="1:35" ht="16.5" x14ac:dyDescent="0.3">
      <c r="A471" s="28"/>
      <c r="B471" s="28"/>
      <c r="C471" s="29"/>
      <c r="D471" s="1">
        <v>53</v>
      </c>
      <c r="E471" s="6" t="s">
        <v>224</v>
      </c>
      <c r="F471" s="22">
        <f>SUM(G471:AF471)</f>
        <v>0</v>
      </c>
      <c r="G471" s="22">
        <f t="shared" ref="G471:V472" si="149">+G456/SUM($G456:$V456)*SUM($AE456,$AF456)</f>
        <v>392333.09963660938</v>
      </c>
      <c r="H471" s="22">
        <f t="shared" si="149"/>
        <v>322552.0545103093</v>
      </c>
      <c r="I471" s="22">
        <f t="shared" si="149"/>
        <v>95903.535568307299</v>
      </c>
      <c r="J471" s="22">
        <f t="shared" si="149"/>
        <v>0</v>
      </c>
      <c r="K471" s="22">
        <f t="shared" si="149"/>
        <v>0</v>
      </c>
      <c r="L471" s="22">
        <f t="shared" si="149"/>
        <v>0</v>
      </c>
      <c r="M471" s="22">
        <f t="shared" si="149"/>
        <v>0</v>
      </c>
      <c r="N471" s="22">
        <f t="shared" si="149"/>
        <v>0</v>
      </c>
      <c r="O471" s="22">
        <f t="shared" si="149"/>
        <v>0</v>
      </c>
      <c r="P471" s="22">
        <f t="shared" si="149"/>
        <v>0</v>
      </c>
      <c r="Q471" s="22">
        <f t="shared" si="149"/>
        <v>0</v>
      </c>
      <c r="R471" s="22">
        <f t="shared" si="149"/>
        <v>0</v>
      </c>
      <c r="S471" s="22">
        <f t="shared" si="149"/>
        <v>0</v>
      </c>
      <c r="T471" s="22">
        <f t="shared" si="149"/>
        <v>0</v>
      </c>
      <c r="U471" s="22">
        <f t="shared" si="149"/>
        <v>0</v>
      </c>
      <c r="V471" s="22">
        <f t="shared" si="149"/>
        <v>3893.3947051285218</v>
      </c>
      <c r="X471" s="6"/>
      <c r="Y471" s="6"/>
      <c r="Z471" s="6"/>
      <c r="AA471" s="6"/>
      <c r="AB471" s="6"/>
      <c r="AC471" s="6" t="str">
        <f t="shared" si="141"/>
        <v>Newfoundland Power</v>
      </c>
      <c r="AD471" s="6"/>
      <c r="AE471" s="22">
        <f>-AE456</f>
        <v>0</v>
      </c>
      <c r="AF471" s="22">
        <f t="shared" ref="AF471:AF482" si="150">-AF456</f>
        <v>-814682.08442035457</v>
      </c>
      <c r="AG471" s="6"/>
      <c r="AH471" s="6" t="s">
        <v>262</v>
      </c>
      <c r="AI471" s="6"/>
    </row>
    <row r="472" spans="1:35" ht="16.5" x14ac:dyDescent="0.3">
      <c r="A472" s="28"/>
      <c r="B472" s="28"/>
      <c r="C472" s="29"/>
      <c r="D472" s="1">
        <v>54</v>
      </c>
      <c r="E472" s="17" t="s">
        <v>227</v>
      </c>
      <c r="F472" s="22">
        <f>SUM(G472:AF472)</f>
        <v>0</v>
      </c>
      <c r="G472" s="22">
        <f t="shared" si="149"/>
        <v>26770.578229198916</v>
      </c>
      <c r="H472" s="22">
        <f t="shared" si="149"/>
        <v>39984.802927656725</v>
      </c>
      <c r="I472" s="22">
        <f t="shared" si="149"/>
        <v>6372.2942791173864</v>
      </c>
      <c r="J472" s="22">
        <f t="shared" si="149"/>
        <v>0</v>
      </c>
      <c r="K472" s="22">
        <f t="shared" si="149"/>
        <v>0</v>
      </c>
      <c r="L472" s="22">
        <f t="shared" si="149"/>
        <v>0</v>
      </c>
      <c r="M472" s="22">
        <f t="shared" si="149"/>
        <v>0</v>
      </c>
      <c r="N472" s="22">
        <f t="shared" si="149"/>
        <v>0</v>
      </c>
      <c r="O472" s="22">
        <f t="shared" si="149"/>
        <v>0</v>
      </c>
      <c r="P472" s="22">
        <f t="shared" si="149"/>
        <v>0</v>
      </c>
      <c r="Q472" s="22">
        <f t="shared" si="149"/>
        <v>0</v>
      </c>
      <c r="R472" s="22">
        <f t="shared" si="149"/>
        <v>0</v>
      </c>
      <c r="S472" s="22">
        <f t="shared" si="149"/>
        <v>0</v>
      </c>
      <c r="T472" s="22">
        <f t="shared" si="149"/>
        <v>0</v>
      </c>
      <c r="U472" s="22">
        <f t="shared" si="149"/>
        <v>0</v>
      </c>
      <c r="V472" s="22">
        <f t="shared" si="149"/>
        <v>712.72620812110517</v>
      </c>
      <c r="X472" s="6"/>
      <c r="Y472" s="6"/>
      <c r="Z472" s="6"/>
      <c r="AA472" s="6"/>
      <c r="AB472" s="6"/>
      <c r="AC472" s="17" t="str">
        <f t="shared" si="141"/>
        <v>Industrial - Firm</v>
      </c>
      <c r="AD472" s="6"/>
      <c r="AE472" s="22">
        <f>-AE457</f>
        <v>0</v>
      </c>
      <c r="AF472" s="22">
        <f t="shared" si="150"/>
        <v>-73840.40164409412</v>
      </c>
      <c r="AG472" s="6"/>
      <c r="AH472" s="6" t="s">
        <v>263</v>
      </c>
      <c r="AI472" s="6"/>
    </row>
    <row r="473" spans="1:35" ht="16.5" x14ac:dyDescent="0.3">
      <c r="A473" s="28"/>
      <c r="B473" s="28"/>
      <c r="C473" s="29"/>
      <c r="D473" s="1">
        <v>55</v>
      </c>
      <c r="E473" s="17" t="s">
        <v>229</v>
      </c>
      <c r="F473" s="22">
        <f>SUM(G473:AF473)</f>
        <v>0</v>
      </c>
      <c r="G473" s="22">
        <f>IF(G458=0,0,+G458/SUM($G458:$V458)*SUM($AE458,$AF458))</f>
        <v>0</v>
      </c>
      <c r="H473" s="22">
        <f t="shared" ref="H473:V473" si="151">IF(H458=0,0,H458/SUM($G458:$V458)*SUM($AE458,$AF458))</f>
        <v>0</v>
      </c>
      <c r="I473" s="22">
        <f t="shared" si="151"/>
        <v>0</v>
      </c>
      <c r="J473" s="22">
        <f t="shared" si="151"/>
        <v>0</v>
      </c>
      <c r="K473" s="22">
        <f t="shared" si="151"/>
        <v>0</v>
      </c>
      <c r="L473" s="22">
        <f t="shared" si="151"/>
        <v>0</v>
      </c>
      <c r="M473" s="22">
        <f t="shared" si="151"/>
        <v>0</v>
      </c>
      <c r="N473" s="22">
        <f t="shared" si="151"/>
        <v>0</v>
      </c>
      <c r="O473" s="22">
        <f t="shared" si="151"/>
        <v>0</v>
      </c>
      <c r="P473" s="22">
        <f t="shared" si="151"/>
        <v>0</v>
      </c>
      <c r="Q473" s="22">
        <f t="shared" si="151"/>
        <v>0</v>
      </c>
      <c r="R473" s="22">
        <f t="shared" si="151"/>
        <v>0</v>
      </c>
      <c r="S473" s="22">
        <f t="shared" si="151"/>
        <v>0</v>
      </c>
      <c r="T473" s="22">
        <f t="shared" si="151"/>
        <v>0</v>
      </c>
      <c r="U473" s="22">
        <f t="shared" si="151"/>
        <v>0</v>
      </c>
      <c r="V473" s="22">
        <f t="shared" si="151"/>
        <v>0</v>
      </c>
      <c r="X473" s="6"/>
      <c r="Y473" s="6"/>
      <c r="Z473" s="6"/>
      <c r="AA473" s="6"/>
      <c r="AB473" s="6"/>
      <c r="AC473" s="17" t="str">
        <f t="shared" si="141"/>
        <v>Industrial - Non-Firm</v>
      </c>
      <c r="AD473" s="6"/>
      <c r="AE473" s="22">
        <f>IF(AE458=0,0,AE458/SUM($G458:$V458)*SUM($AE458,$AF458))</f>
        <v>0</v>
      </c>
      <c r="AF473" s="22">
        <f t="shared" si="150"/>
        <v>0</v>
      </c>
      <c r="AG473" s="6"/>
      <c r="AH473" s="6"/>
      <c r="AI473" s="6"/>
    </row>
    <row r="474" spans="1:35" ht="16.5" x14ac:dyDescent="0.3">
      <c r="A474" s="28"/>
      <c r="B474" s="28"/>
      <c r="C474" s="29"/>
      <c r="D474" s="1"/>
      <c r="E474" s="20" t="s">
        <v>230</v>
      </c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X474" s="6"/>
      <c r="Y474" s="6"/>
      <c r="Z474" s="6"/>
      <c r="AA474" s="6"/>
      <c r="AB474" s="6"/>
      <c r="AC474" s="20" t="str">
        <f t="shared" si="141"/>
        <v>Rural</v>
      </c>
      <c r="AD474" s="6"/>
      <c r="AE474" s="22"/>
      <c r="AF474" s="22"/>
      <c r="AG474" s="6"/>
      <c r="AH474" s="6"/>
      <c r="AI474" s="6"/>
    </row>
    <row r="475" spans="1:35" ht="16.5" x14ac:dyDescent="0.3">
      <c r="A475" s="28"/>
      <c r="B475" s="28"/>
      <c r="C475" s="29"/>
      <c r="D475" s="1">
        <f t="shared" ref="D475:D484" si="152">MAX(D472:D474)+NoOne</f>
        <v>56</v>
      </c>
      <c r="E475" s="17" t="s">
        <v>232</v>
      </c>
      <c r="F475" s="22">
        <f t="shared" ref="F475:F482" si="153">SUM(G475:AF475)</f>
        <v>-6.5483618527650833E-11</v>
      </c>
      <c r="G475" s="22">
        <f>+G460/SUM($G460:$V460)*SUM($AE460,$AF460)</f>
        <v>91689.44250747464</v>
      </c>
      <c r="H475" s="22">
        <f t="shared" ref="H475:V475" si="154">+H460/SUM($G460:$V460)*SUM($AE460,$AF460)</f>
        <v>65584.801466120785</v>
      </c>
      <c r="I475" s="22">
        <f t="shared" si="154"/>
        <v>21825.158386327726</v>
      </c>
      <c r="J475" s="22">
        <f t="shared" si="154"/>
        <v>46342.832154800111</v>
      </c>
      <c r="K475" s="22">
        <f t="shared" si="154"/>
        <v>37586.584400202177</v>
      </c>
      <c r="L475" s="22">
        <f t="shared" si="154"/>
        <v>51047.175845613951</v>
      </c>
      <c r="M475" s="22">
        <f t="shared" si="154"/>
        <v>20533.259571879829</v>
      </c>
      <c r="N475" s="22">
        <f t="shared" si="154"/>
        <v>5014.6031111670218</v>
      </c>
      <c r="O475" s="22">
        <f t="shared" si="154"/>
        <v>12543.79767673511</v>
      </c>
      <c r="P475" s="22">
        <f t="shared" si="154"/>
        <v>7517.8574223173036</v>
      </c>
      <c r="Q475" s="22">
        <f t="shared" si="154"/>
        <v>12114.112391912275</v>
      </c>
      <c r="R475" s="22">
        <f t="shared" si="154"/>
        <v>2280.8693292924772</v>
      </c>
      <c r="S475" s="22">
        <f t="shared" si="154"/>
        <v>7714.0968130765386</v>
      </c>
      <c r="T475" s="22">
        <f t="shared" si="154"/>
        <v>0</v>
      </c>
      <c r="U475" s="22">
        <f t="shared" si="154"/>
        <v>25370.881216338756</v>
      </c>
      <c r="V475" s="22">
        <f t="shared" si="154"/>
        <v>0</v>
      </c>
      <c r="X475" s="6"/>
      <c r="Y475" s="6"/>
      <c r="Z475" s="6"/>
      <c r="AA475" s="6"/>
      <c r="AB475" s="6"/>
      <c r="AC475" s="17" t="str">
        <f t="shared" si="141"/>
        <v>1.1 Domestic</v>
      </c>
      <c r="AD475" s="6"/>
      <c r="AE475" s="22">
        <f t="shared" ref="AE475:AE482" si="155">-AE460</f>
        <v>-384122.60818268097</v>
      </c>
      <c r="AF475" s="22">
        <f t="shared" si="150"/>
        <v>-23042.864110577801</v>
      </c>
      <c r="AG475" s="6"/>
      <c r="AH475" s="6"/>
      <c r="AI475" s="6"/>
    </row>
    <row r="476" spans="1:35" ht="16.5" x14ac:dyDescent="0.3">
      <c r="A476" s="28"/>
      <c r="B476" s="28"/>
      <c r="C476" s="29"/>
      <c r="D476" s="1">
        <f t="shared" si="152"/>
        <v>57</v>
      </c>
      <c r="E476" s="17" t="s">
        <v>234</v>
      </c>
      <c r="F476" s="22">
        <f t="shared" si="153"/>
        <v>1.0186340659856796E-10</v>
      </c>
      <c r="G476" s="22">
        <f t="shared" ref="G476:V478" si="156">+G461/SUM($G461:$V461)*SUM($AE461,$AF461)</f>
        <v>121255.45375776775</v>
      </c>
      <c r="H476" s="22">
        <f t="shared" si="156"/>
        <v>100744.01428033022</v>
      </c>
      <c r="I476" s="22">
        <f t="shared" si="156"/>
        <v>28862.859355411372</v>
      </c>
      <c r="J476" s="22">
        <f t="shared" si="156"/>
        <v>61286.457717225872</v>
      </c>
      <c r="K476" s="22">
        <f t="shared" si="156"/>
        <v>49706.686200863427</v>
      </c>
      <c r="L476" s="22">
        <f t="shared" si="156"/>
        <v>67507.755538025915</v>
      </c>
      <c r="M476" s="22">
        <f t="shared" si="156"/>
        <v>17735.724513968307</v>
      </c>
      <c r="N476" s="22">
        <f t="shared" si="156"/>
        <v>6631.6029308401803</v>
      </c>
      <c r="O476" s="22">
        <f t="shared" si="156"/>
        <v>10834.77950369875</v>
      </c>
      <c r="P476" s="22">
        <f t="shared" si="156"/>
        <v>9942.0520847312782</v>
      </c>
      <c r="Q476" s="22">
        <f t="shared" si="156"/>
        <v>10463.636295157205</v>
      </c>
      <c r="R476" s="22">
        <f t="shared" si="156"/>
        <v>1970.1143861294686</v>
      </c>
      <c r="S476" s="22">
        <f t="shared" si="156"/>
        <v>6663.0967904469389</v>
      </c>
      <c r="T476" s="22">
        <f t="shared" si="156"/>
        <v>0</v>
      </c>
      <c r="U476" s="22">
        <f t="shared" si="156"/>
        <v>21914.248848528161</v>
      </c>
      <c r="V476" s="22">
        <f t="shared" si="156"/>
        <v>0</v>
      </c>
      <c r="X476" s="6"/>
      <c r="Y476" s="6"/>
      <c r="Z476" s="6"/>
      <c r="AA476" s="6"/>
      <c r="AB476" s="6"/>
      <c r="AC476" s="17" t="str">
        <f t="shared" si="141"/>
        <v xml:space="preserve">1.12 Domestic All Electric </v>
      </c>
      <c r="AD476" s="6"/>
      <c r="AE476" s="22">
        <f t="shared" si="155"/>
        <v>-486343.55667470931</v>
      </c>
      <c r="AF476" s="22">
        <f t="shared" si="150"/>
        <v>-29174.925528415435</v>
      </c>
      <c r="AG476" s="6"/>
      <c r="AH476" s="6"/>
      <c r="AI476" s="6"/>
    </row>
    <row r="477" spans="1:35" ht="16.5" x14ac:dyDescent="0.3">
      <c r="A477" s="28"/>
      <c r="B477" s="28"/>
      <c r="C477" s="29"/>
      <c r="D477" s="1">
        <f t="shared" si="152"/>
        <v>58</v>
      </c>
      <c r="E477" s="17" t="s">
        <v>236</v>
      </c>
      <c r="F477" s="22">
        <f t="shared" si="153"/>
        <v>0</v>
      </c>
      <c r="G477" s="22">
        <f t="shared" si="156"/>
        <v>166.53464545504823</v>
      </c>
      <c r="H477" s="22">
        <f t="shared" si="156"/>
        <v>93.893070755853174</v>
      </c>
      <c r="I477" s="22">
        <f t="shared" si="156"/>
        <v>39.640823572147461</v>
      </c>
      <c r="J477" s="22">
        <f t="shared" si="156"/>
        <v>84.172036727710406</v>
      </c>
      <c r="K477" s="22">
        <f t="shared" si="156"/>
        <v>68.268148826879809</v>
      </c>
      <c r="L477" s="22">
        <f t="shared" si="156"/>
        <v>92.716490562561759</v>
      </c>
      <c r="M477" s="22">
        <f t="shared" si="156"/>
        <v>0.80666564239670069</v>
      </c>
      <c r="N477" s="22">
        <f t="shared" si="156"/>
        <v>9.107975011931206</v>
      </c>
      <c r="O477" s="22">
        <f t="shared" si="156"/>
        <v>0.49279319611072353</v>
      </c>
      <c r="P477" s="22">
        <f t="shared" si="156"/>
        <v>13.65461154707263</v>
      </c>
      <c r="Q477" s="22">
        <f t="shared" si="156"/>
        <v>0.47591266357293283</v>
      </c>
      <c r="R477" s="22">
        <f t="shared" si="156"/>
        <v>8.9605788905351313E-2</v>
      </c>
      <c r="S477" s="22">
        <f t="shared" si="156"/>
        <v>0.30305450722264632</v>
      </c>
      <c r="T477" s="22">
        <f t="shared" si="156"/>
        <v>0</v>
      </c>
      <c r="U477" s="22">
        <f t="shared" si="156"/>
        <v>0.99671550553893051</v>
      </c>
      <c r="V477" s="22">
        <f t="shared" si="156"/>
        <v>0</v>
      </c>
      <c r="X477" s="6"/>
      <c r="Y477" s="6"/>
      <c r="Z477" s="6"/>
      <c r="AA477" s="6"/>
      <c r="AB477" s="6"/>
      <c r="AC477" s="17" t="str">
        <f t="shared" si="141"/>
        <v>1.3 Special</v>
      </c>
      <c r="AD477" s="6"/>
      <c r="AE477" s="22">
        <f t="shared" si="155"/>
        <v>-538.82910515338892</v>
      </c>
      <c r="AF477" s="22">
        <f t="shared" si="150"/>
        <v>-32.323444609563047</v>
      </c>
      <c r="AG477" s="6"/>
      <c r="AH477" s="6"/>
      <c r="AI477" s="6"/>
    </row>
    <row r="478" spans="1:35" ht="16.5" x14ac:dyDescent="0.3">
      <c r="A478" s="28"/>
      <c r="B478" s="28"/>
      <c r="C478" s="29"/>
      <c r="D478" s="1">
        <f t="shared" si="152"/>
        <v>59</v>
      </c>
      <c r="E478" s="17" t="s">
        <v>238</v>
      </c>
      <c r="F478" s="22">
        <f t="shared" si="153"/>
        <v>7.8216544352471828E-11</v>
      </c>
      <c r="G478" s="22">
        <f t="shared" si="156"/>
        <v>60765.557326397793</v>
      </c>
      <c r="H478" s="22">
        <f t="shared" si="156"/>
        <v>63199.484558241253</v>
      </c>
      <c r="I478" s="22">
        <f t="shared" si="156"/>
        <v>14464.237940742125</v>
      </c>
      <c r="J478" s="22">
        <f t="shared" si="156"/>
        <v>30712.892858308831</v>
      </c>
      <c r="K478" s="22">
        <f t="shared" si="156"/>
        <v>24909.844433701095</v>
      </c>
      <c r="L478" s="22">
        <f t="shared" si="156"/>
        <v>33830.61348578371</v>
      </c>
      <c r="M478" s="22">
        <f t="shared" si="156"/>
        <v>7822.1746276653776</v>
      </c>
      <c r="N478" s="22">
        <f t="shared" si="156"/>
        <v>3323.3395741926502</v>
      </c>
      <c r="O478" s="22">
        <f t="shared" si="156"/>
        <v>4778.577681640948</v>
      </c>
      <c r="P478" s="22">
        <f t="shared" si="156"/>
        <v>4982.3271215796285</v>
      </c>
      <c r="Q478" s="22">
        <f t="shared" si="156"/>
        <v>4614.8884572849029</v>
      </c>
      <c r="R478" s="22">
        <f t="shared" si="156"/>
        <v>4144.7638524965596</v>
      </c>
      <c r="S478" s="22">
        <f t="shared" si="156"/>
        <v>14017.948864881508</v>
      </c>
      <c r="T478" s="22">
        <f t="shared" si="156"/>
        <v>0</v>
      </c>
      <c r="U478" s="22">
        <f t="shared" si="156"/>
        <v>9665.0735182708468</v>
      </c>
      <c r="V478" s="22">
        <f t="shared" si="156"/>
        <v>0</v>
      </c>
      <c r="X478" s="6"/>
      <c r="Y478" s="6"/>
      <c r="Z478" s="6"/>
      <c r="AA478" s="6"/>
      <c r="AB478" s="6"/>
      <c r="AC478" s="17" t="str">
        <f t="shared" si="141"/>
        <v>2.1 GS 0-10 kW</v>
      </c>
      <c r="AD478" s="6"/>
      <c r="AE478" s="22">
        <f t="shared" si="155"/>
        <v>-265315.8747323213</v>
      </c>
      <c r="AF478" s="22">
        <f t="shared" si="150"/>
        <v>-15915.849568865882</v>
      </c>
      <c r="AG478" s="6"/>
      <c r="AH478" s="6"/>
      <c r="AI478" s="6"/>
    </row>
    <row r="479" spans="1:35" ht="16.5" x14ac:dyDescent="0.3">
      <c r="A479" s="28"/>
      <c r="B479" s="28"/>
      <c r="C479" s="29"/>
      <c r="D479" s="1">
        <f t="shared" si="152"/>
        <v>60</v>
      </c>
      <c r="E479" s="17" t="s">
        <v>240</v>
      </c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X479" s="6"/>
      <c r="Y479" s="6"/>
      <c r="Z479" s="6"/>
      <c r="AA479" s="6"/>
      <c r="AB479" s="6"/>
      <c r="AC479" s="17" t="str">
        <f t="shared" si="141"/>
        <v>2.2 GS 10-100 kW</v>
      </c>
      <c r="AD479" s="6"/>
      <c r="AE479" s="22">
        <f t="shared" si="155"/>
        <v>0</v>
      </c>
      <c r="AF479" s="22">
        <f t="shared" si="150"/>
        <v>0</v>
      </c>
      <c r="AG479" s="6"/>
      <c r="AH479" s="6"/>
      <c r="AI479" s="6"/>
    </row>
    <row r="480" spans="1:35" ht="16.5" x14ac:dyDescent="0.3">
      <c r="A480" s="28"/>
      <c r="B480" s="28"/>
      <c r="C480" s="29"/>
      <c r="D480" s="1">
        <f t="shared" si="152"/>
        <v>61</v>
      </c>
      <c r="E480" s="17" t="s">
        <v>242</v>
      </c>
      <c r="F480" s="22">
        <f t="shared" si="153"/>
        <v>-6.730260793119669E-11</v>
      </c>
      <c r="G480" s="22">
        <f t="shared" ref="G480:V482" si="157">+G465/SUM($G465:$V465)*SUM($AE465,$AF465)</f>
        <v>45075.334638648303</v>
      </c>
      <c r="H480" s="22">
        <f t="shared" si="157"/>
        <v>52784.990110173712</v>
      </c>
      <c r="I480" s="22">
        <f t="shared" si="157"/>
        <v>10729.439408741358</v>
      </c>
      <c r="J480" s="22">
        <f t="shared" si="157"/>
        <v>22782.543009900342</v>
      </c>
      <c r="K480" s="22">
        <f t="shared" si="157"/>
        <v>18477.894765526529</v>
      </c>
      <c r="L480" s="22">
        <f t="shared" si="157"/>
        <v>25095.239655442278</v>
      </c>
      <c r="M480" s="22">
        <f t="shared" si="157"/>
        <v>240.88952973134622</v>
      </c>
      <c r="N480" s="22">
        <f t="shared" si="157"/>
        <v>2285.9391212875039</v>
      </c>
      <c r="O480" s="22">
        <f t="shared" si="157"/>
        <v>147.15975867426482</v>
      </c>
      <c r="P480" s="22">
        <f t="shared" si="157"/>
        <v>3427.0637194929063</v>
      </c>
      <c r="Q480" s="22">
        <f t="shared" si="157"/>
        <v>142.11883052395768</v>
      </c>
      <c r="R480" s="22">
        <f t="shared" si="157"/>
        <v>225.29066788266726</v>
      </c>
      <c r="S480" s="22">
        <f t="shared" si="157"/>
        <v>761.95247172211589</v>
      </c>
      <c r="T480" s="22">
        <f t="shared" si="157"/>
        <v>0</v>
      </c>
      <c r="U480" s="22">
        <f t="shared" si="157"/>
        <v>297.64293504785064</v>
      </c>
      <c r="V480" s="22">
        <f t="shared" si="157"/>
        <v>0</v>
      </c>
      <c r="X480" s="6"/>
      <c r="Y480" s="6"/>
      <c r="Z480" s="6"/>
      <c r="AA480" s="6"/>
      <c r="AB480" s="6"/>
      <c r="AC480" s="17" t="str">
        <f t="shared" si="141"/>
        <v>2.3 GS 110-1,000 kVa</v>
      </c>
      <c r="AD480" s="6"/>
      <c r="AE480" s="22">
        <f t="shared" si="155"/>
        <v>-172146.70934750428</v>
      </c>
      <c r="AF480" s="22">
        <f t="shared" si="150"/>
        <v>-10326.78927529089</v>
      </c>
      <c r="AG480" s="6"/>
      <c r="AH480" s="6"/>
      <c r="AI480" s="6"/>
    </row>
    <row r="481" spans="1:35" ht="16.5" x14ac:dyDescent="0.3">
      <c r="A481" s="28"/>
      <c r="B481" s="28"/>
      <c r="C481" s="29"/>
      <c r="D481" s="1">
        <f t="shared" si="152"/>
        <v>62</v>
      </c>
      <c r="E481" s="17" t="s">
        <v>244</v>
      </c>
      <c r="F481" s="22">
        <f t="shared" si="153"/>
        <v>-5.0931703299283981E-11</v>
      </c>
      <c r="G481" s="22">
        <f t="shared" si="157"/>
        <v>23959.430581508987</v>
      </c>
      <c r="H481" s="22">
        <f t="shared" si="157"/>
        <v>34585.313054946841</v>
      </c>
      <c r="I481" s="22">
        <f t="shared" si="157"/>
        <v>5703.1469816716235</v>
      </c>
      <c r="J481" s="22">
        <f t="shared" si="157"/>
        <v>12109.87698908671</v>
      </c>
      <c r="K481" s="22">
        <f t="shared" si="157"/>
        <v>9821.7759330280442</v>
      </c>
      <c r="L481" s="22">
        <f t="shared" si="157"/>
        <v>13339.172238454432</v>
      </c>
      <c r="M481" s="22">
        <f t="shared" si="157"/>
        <v>21.014796921983773</v>
      </c>
      <c r="N481" s="22">
        <f t="shared" si="157"/>
        <v>540.82971158183932</v>
      </c>
      <c r="O481" s="22">
        <f t="shared" si="157"/>
        <v>12.837969533490245</v>
      </c>
      <c r="P481" s="22">
        <f t="shared" si="157"/>
        <v>810.80806821400211</v>
      </c>
      <c r="Q481" s="22">
        <f t="shared" si="157"/>
        <v>12.398207450450938</v>
      </c>
      <c r="R481" s="22">
        <f t="shared" si="157"/>
        <v>19.653978482387597</v>
      </c>
      <c r="S481" s="22">
        <f t="shared" si="157"/>
        <v>66.471450524651942</v>
      </c>
      <c r="T481" s="22">
        <f t="shared" si="157"/>
        <v>0</v>
      </c>
      <c r="U481" s="22">
        <f t="shared" si="157"/>
        <v>25.965868430519244</v>
      </c>
      <c r="V481" s="22">
        <f t="shared" si="157"/>
        <v>0</v>
      </c>
      <c r="X481" s="6"/>
      <c r="Y481" s="6"/>
      <c r="Z481" s="6"/>
      <c r="AA481" s="6"/>
      <c r="AB481" s="6"/>
      <c r="AC481" s="17" t="str">
        <f t="shared" si="141"/>
        <v>2.4 GS Over 1,000 kVa</v>
      </c>
      <c r="AD481" s="6"/>
      <c r="AE481" s="22">
        <f t="shared" si="155"/>
        <v>-95311.141990695411</v>
      </c>
      <c r="AF481" s="22">
        <f t="shared" si="150"/>
        <v>-5717.5538391405789</v>
      </c>
      <c r="AG481" s="6"/>
      <c r="AH481" s="6"/>
      <c r="AI481" s="6"/>
    </row>
    <row r="482" spans="1:35" ht="16.5" x14ac:dyDescent="0.3">
      <c r="A482" s="28"/>
      <c r="B482" s="28"/>
      <c r="C482" s="29"/>
      <c r="D482" s="1">
        <f t="shared" si="152"/>
        <v>63</v>
      </c>
      <c r="E482" s="17" t="s">
        <v>246</v>
      </c>
      <c r="F482" s="34">
        <f t="shared" si="153"/>
        <v>0</v>
      </c>
      <c r="G482" s="22">
        <f t="shared" si="157"/>
        <v>2466.6138383434914</v>
      </c>
      <c r="H482" s="22">
        <f t="shared" si="157"/>
        <v>1767.9708238041667</v>
      </c>
      <c r="I482" s="22">
        <f t="shared" si="157"/>
        <v>587.13671091811705</v>
      </c>
      <c r="J482" s="22">
        <f t="shared" si="157"/>
        <v>1246.7070141880397</v>
      </c>
      <c r="K482" s="22">
        <f t="shared" si="157"/>
        <v>1011.1479215292023</v>
      </c>
      <c r="L482" s="22">
        <f t="shared" si="157"/>
        <v>1373.2624706370123</v>
      </c>
      <c r="M482" s="22">
        <f t="shared" si="157"/>
        <v>2665.7829976303674</v>
      </c>
      <c r="N482" s="22">
        <f t="shared" si="157"/>
        <v>134.90200277743594</v>
      </c>
      <c r="O482" s="22">
        <f t="shared" si="157"/>
        <v>1628.5306507375149</v>
      </c>
      <c r="P482" s="22">
        <f t="shared" si="157"/>
        <v>202.24412588253534</v>
      </c>
      <c r="Q482" s="22">
        <f t="shared" si="157"/>
        <v>1572.7456584617946</v>
      </c>
      <c r="R482" s="22">
        <f t="shared" si="157"/>
        <v>0</v>
      </c>
      <c r="S482" s="22">
        <f t="shared" si="157"/>
        <v>0</v>
      </c>
      <c r="T482" s="22">
        <f t="shared" si="157"/>
        <v>11572.809539814216</v>
      </c>
      <c r="U482" s="22">
        <f t="shared" si="157"/>
        <v>3293.8396139519336</v>
      </c>
      <c r="V482" s="22">
        <f t="shared" si="157"/>
        <v>0</v>
      </c>
      <c r="X482" s="6"/>
      <c r="Y482" s="6"/>
      <c r="Z482" s="6"/>
      <c r="AA482" s="6"/>
      <c r="AB482" s="6"/>
      <c r="AC482" s="17" t="str">
        <f t="shared" si="141"/>
        <v>4.1 Street and Area Lighting</v>
      </c>
      <c r="AD482" s="6"/>
      <c r="AE482" s="22">
        <f t="shared" si="155"/>
        <v>-27852.848219392701</v>
      </c>
      <c r="AF482" s="22">
        <f t="shared" si="150"/>
        <v>-1670.8451492831248</v>
      </c>
      <c r="AG482" s="6"/>
      <c r="AH482" s="6"/>
      <c r="AI482" s="6"/>
    </row>
    <row r="483" spans="1:35" ht="16.5" x14ac:dyDescent="0.3">
      <c r="A483" s="28"/>
      <c r="B483" s="28"/>
      <c r="C483" s="29"/>
      <c r="D483" s="1">
        <f t="shared" si="152"/>
        <v>64</v>
      </c>
      <c r="E483" s="20" t="s">
        <v>247</v>
      </c>
      <c r="F483" s="30">
        <f>SUM(F475:F482)</f>
        <v>-3.637978807091713E-12</v>
      </c>
      <c r="G483" s="30">
        <f>SUM(G475:G482)</f>
        <v>345378.36729559599</v>
      </c>
      <c r="H483" s="30">
        <f>SUM(H475:H482)</f>
        <v>318760.4673643728</v>
      </c>
      <c r="I483" s="30">
        <f>SUM(I475:I482)</f>
        <v>82211.619607384462</v>
      </c>
      <c r="J483" s="30">
        <f t="shared" ref="J483:V483" si="158">SUM(J475:J482)</f>
        <v>174565.48178023763</v>
      </c>
      <c r="K483" s="30">
        <f t="shared" si="158"/>
        <v>141582.20180367734</v>
      </c>
      <c r="L483" s="30">
        <f t="shared" si="158"/>
        <v>192285.93572451986</v>
      </c>
      <c r="M483" s="30">
        <f t="shared" si="158"/>
        <v>49019.652703439606</v>
      </c>
      <c r="N483" s="30">
        <f t="shared" si="158"/>
        <v>17940.324426858562</v>
      </c>
      <c r="O483" s="30">
        <f t="shared" si="158"/>
        <v>29946.176034216187</v>
      </c>
      <c r="P483" s="30">
        <f t="shared" si="158"/>
        <v>26896.007153764727</v>
      </c>
      <c r="Q483" s="30">
        <f t="shared" si="158"/>
        <v>28920.375753454155</v>
      </c>
      <c r="R483" s="30">
        <f t="shared" si="158"/>
        <v>8640.7818200724651</v>
      </c>
      <c r="S483" s="30">
        <f t="shared" si="158"/>
        <v>29223.86944515898</v>
      </c>
      <c r="T483" s="30">
        <f t="shared" si="158"/>
        <v>11572.809539814216</v>
      </c>
      <c r="U483" s="30">
        <f t="shared" si="158"/>
        <v>60568.6487160736</v>
      </c>
      <c r="V483" s="30">
        <f t="shared" si="158"/>
        <v>0</v>
      </c>
      <c r="X483" s="6"/>
      <c r="Y483" s="6"/>
      <c r="Z483" s="6"/>
      <c r="AA483" s="6"/>
      <c r="AB483" s="6"/>
      <c r="AC483" s="20" t="str">
        <f t="shared" si="141"/>
        <v xml:space="preserve">    Subtotal Rural</v>
      </c>
      <c r="AD483" s="6"/>
      <c r="AE483" s="30">
        <f>SUM(AE475:AE482)</f>
        <v>-1431631.5682524573</v>
      </c>
      <c r="AF483" s="30">
        <f>SUM(AF475:AF482)</f>
        <v>-85881.15091618328</v>
      </c>
      <c r="AG483" s="6"/>
      <c r="AH483" s="6"/>
      <c r="AI483" s="6"/>
    </row>
    <row r="484" spans="1:35" ht="17.25" thickBot="1" x14ac:dyDescent="0.35">
      <c r="A484" s="28">
        <f>(SUM(G484:AF484)-F484)*1000</f>
        <v>3.637978807091713E-9</v>
      </c>
      <c r="B484" s="28"/>
      <c r="C484" s="29"/>
      <c r="D484" s="1">
        <f t="shared" si="152"/>
        <v>65</v>
      </c>
      <c r="E484" s="20" t="s">
        <v>248</v>
      </c>
      <c r="F484" s="55">
        <f>SUM(F483,F471:F473)</f>
        <v>-3.637978807091713E-12</v>
      </c>
      <c r="G484" s="55">
        <f>SUM(G483,G471:G473)</f>
        <v>764482.0451614043</v>
      </c>
      <c r="H484" s="55">
        <f>SUM(H483,H471:H473)</f>
        <v>681297.32480233873</v>
      </c>
      <c r="I484" s="55">
        <f>SUM(I483,I471:I473)</f>
        <v>184487.44945480916</v>
      </c>
      <c r="J484" s="55">
        <f t="shared" ref="J484:V484" si="159">SUM(J483,J471:J473)</f>
        <v>174565.48178023763</v>
      </c>
      <c r="K484" s="55">
        <f t="shared" si="159"/>
        <v>141582.20180367734</v>
      </c>
      <c r="L484" s="55">
        <f t="shared" si="159"/>
        <v>192285.93572451986</v>
      </c>
      <c r="M484" s="55">
        <f t="shared" si="159"/>
        <v>49019.652703439606</v>
      </c>
      <c r="N484" s="55">
        <f t="shared" si="159"/>
        <v>17940.324426858562</v>
      </c>
      <c r="O484" s="55">
        <f t="shared" si="159"/>
        <v>29946.176034216187</v>
      </c>
      <c r="P484" s="55">
        <f t="shared" si="159"/>
        <v>26896.007153764727</v>
      </c>
      <c r="Q484" s="55">
        <f t="shared" si="159"/>
        <v>28920.375753454155</v>
      </c>
      <c r="R484" s="55">
        <f t="shared" si="159"/>
        <v>8640.7818200724651</v>
      </c>
      <c r="S484" s="55">
        <f t="shared" si="159"/>
        <v>29223.86944515898</v>
      </c>
      <c r="T484" s="55">
        <f t="shared" si="159"/>
        <v>11572.809539814216</v>
      </c>
      <c r="U484" s="55">
        <f t="shared" si="159"/>
        <v>60568.6487160736</v>
      </c>
      <c r="V484" s="55">
        <f t="shared" si="159"/>
        <v>4606.1209132496269</v>
      </c>
      <c r="X484" s="6"/>
      <c r="Y484" s="6"/>
      <c r="Z484" s="6"/>
      <c r="AA484" s="6"/>
      <c r="AB484" s="6"/>
      <c r="AC484" s="20" t="str">
        <f t="shared" si="141"/>
        <v xml:space="preserve">      Total</v>
      </c>
      <c r="AD484" s="6"/>
      <c r="AE484" s="55">
        <f>SUM(AE483,AE471:AE473)</f>
        <v>-1431631.5682524573</v>
      </c>
      <c r="AF484" s="55">
        <f>SUM(AF483,AF471:AF473)</f>
        <v>-974403.63698063197</v>
      </c>
      <c r="AG484" s="6"/>
      <c r="AH484" s="6"/>
      <c r="AI484" s="6"/>
    </row>
    <row r="485" spans="1:35" ht="17.25" thickTop="1" x14ac:dyDescent="0.3">
      <c r="A485" s="28"/>
      <c r="B485" s="28"/>
      <c r="C485" s="29"/>
      <c r="D485" s="1"/>
      <c r="E485" s="20" t="s">
        <v>264</v>
      </c>
      <c r="F485" s="64"/>
      <c r="G485" s="64"/>
      <c r="H485" s="64"/>
      <c r="I485" s="64"/>
      <c r="J485" s="64"/>
      <c r="K485" s="64"/>
      <c r="L485" s="64"/>
      <c r="M485" s="64"/>
      <c r="N485" s="64"/>
      <c r="O485" s="64"/>
      <c r="P485" s="64"/>
      <c r="Q485" s="64"/>
      <c r="R485" s="64"/>
      <c r="S485" s="64"/>
      <c r="T485" s="64"/>
      <c r="U485" s="64"/>
      <c r="V485" s="64"/>
      <c r="X485" s="6"/>
      <c r="Y485" s="6"/>
      <c r="Z485" s="6"/>
      <c r="AA485" s="6"/>
      <c r="AB485" s="6"/>
      <c r="AC485" s="20" t="str">
        <f t="shared" si="141"/>
        <v>Total Allocated Revenue Requirement</v>
      </c>
      <c r="AD485" s="6"/>
      <c r="AE485" s="64"/>
      <c r="AF485" s="64"/>
      <c r="AG485" s="6"/>
      <c r="AH485" s="6"/>
      <c r="AI485" s="6"/>
    </row>
    <row r="486" spans="1:35" ht="16.5" x14ac:dyDescent="0.3">
      <c r="A486" s="28"/>
      <c r="B486" s="28"/>
      <c r="C486" s="29"/>
      <c r="D486" s="1">
        <v>66</v>
      </c>
      <c r="E486" s="6" t="s">
        <v>224</v>
      </c>
      <c r="F486" s="22">
        <f>SUM(G486:AF486)</f>
        <v>574037013.76257324</v>
      </c>
      <c r="G486" s="22">
        <f t="shared" ref="G486:V488" si="160">SUM(G456,G471)</f>
        <v>276443689.16723228</v>
      </c>
      <c r="H486" s="22">
        <f t="shared" si="160"/>
        <v>227274935.45634991</v>
      </c>
      <c r="I486" s="22">
        <f t="shared" si="160"/>
        <v>67575045.79970409</v>
      </c>
      <c r="J486" s="22">
        <f t="shared" si="160"/>
        <v>0</v>
      </c>
      <c r="K486" s="22">
        <f t="shared" si="160"/>
        <v>0</v>
      </c>
      <c r="L486" s="22">
        <f t="shared" si="160"/>
        <v>0</v>
      </c>
      <c r="M486" s="22">
        <f t="shared" si="160"/>
        <v>0</v>
      </c>
      <c r="N486" s="22">
        <f t="shared" si="160"/>
        <v>0</v>
      </c>
      <c r="O486" s="22">
        <f t="shared" si="160"/>
        <v>0</v>
      </c>
      <c r="P486" s="22">
        <f t="shared" si="160"/>
        <v>0</v>
      </c>
      <c r="Q486" s="22">
        <f t="shared" si="160"/>
        <v>0</v>
      </c>
      <c r="R486" s="22">
        <f t="shared" si="160"/>
        <v>0</v>
      </c>
      <c r="S486" s="22">
        <f t="shared" si="160"/>
        <v>0</v>
      </c>
      <c r="T486" s="22">
        <f t="shared" si="160"/>
        <v>0</v>
      </c>
      <c r="U486" s="22">
        <f t="shared" si="160"/>
        <v>0</v>
      </c>
      <c r="V486" s="22">
        <f t="shared" si="160"/>
        <v>2743343.3392869532</v>
      </c>
      <c r="X486" s="6"/>
      <c r="Y486" s="6"/>
      <c r="Z486" s="6"/>
      <c r="AA486" s="6"/>
      <c r="AB486" s="6"/>
      <c r="AC486" s="6" t="str">
        <f t="shared" si="141"/>
        <v>Newfoundland Power</v>
      </c>
      <c r="AD486" s="6"/>
      <c r="AE486" s="22">
        <f t="shared" ref="AE486:AF488" si="161">SUM(AE456,AE471)</f>
        <v>0</v>
      </c>
      <c r="AF486" s="22">
        <f t="shared" si="161"/>
        <v>0</v>
      </c>
      <c r="AG486" s="6"/>
      <c r="AH486" s="6"/>
      <c r="AI486" s="6"/>
    </row>
    <row r="487" spans="1:35" ht="16.5" x14ac:dyDescent="0.3">
      <c r="A487" s="28"/>
      <c r="B487" s="28"/>
      <c r="C487" s="29"/>
      <c r="D487" s="1">
        <v>67</v>
      </c>
      <c r="E487" s="17" t="s">
        <v>227</v>
      </c>
      <c r="F487" s="22">
        <f>SUM(G487:AF487)</f>
        <v>42815547.883037768</v>
      </c>
      <c r="G487" s="22">
        <f t="shared" si="160"/>
        <v>15522626.48236217</v>
      </c>
      <c r="H487" s="22">
        <f t="shared" si="160"/>
        <v>23184749.896059666</v>
      </c>
      <c r="I487" s="22">
        <f t="shared" si="160"/>
        <v>3694905.0216085836</v>
      </c>
      <c r="J487" s="22">
        <f t="shared" si="160"/>
        <v>0</v>
      </c>
      <c r="K487" s="22">
        <f t="shared" si="160"/>
        <v>0</v>
      </c>
      <c r="L487" s="22">
        <f t="shared" si="160"/>
        <v>0</v>
      </c>
      <c r="M487" s="22">
        <f t="shared" si="160"/>
        <v>0</v>
      </c>
      <c r="N487" s="22">
        <f t="shared" si="160"/>
        <v>0</v>
      </c>
      <c r="O487" s="22">
        <f t="shared" si="160"/>
        <v>0</v>
      </c>
      <c r="P487" s="22">
        <f t="shared" si="160"/>
        <v>0</v>
      </c>
      <c r="Q487" s="22">
        <f t="shared" si="160"/>
        <v>0</v>
      </c>
      <c r="R487" s="22">
        <f t="shared" si="160"/>
        <v>0</v>
      </c>
      <c r="S487" s="22">
        <f t="shared" si="160"/>
        <v>0</v>
      </c>
      <c r="T487" s="22">
        <f t="shared" si="160"/>
        <v>0</v>
      </c>
      <c r="U487" s="22">
        <f t="shared" si="160"/>
        <v>0</v>
      </c>
      <c r="V487" s="22">
        <f t="shared" si="160"/>
        <v>413266.48300735274</v>
      </c>
      <c r="X487" s="6"/>
      <c r="Y487" s="6"/>
      <c r="Z487" s="6"/>
      <c r="AA487" s="6"/>
      <c r="AB487" s="6"/>
      <c r="AC487" s="17" t="str">
        <f t="shared" si="141"/>
        <v>Industrial - Firm</v>
      </c>
      <c r="AD487" s="6"/>
      <c r="AE487" s="22">
        <f t="shared" si="161"/>
        <v>0</v>
      </c>
      <c r="AF487" s="22">
        <f t="shared" si="161"/>
        <v>0</v>
      </c>
      <c r="AG487" s="6"/>
      <c r="AH487" s="6"/>
      <c r="AI487" s="6"/>
    </row>
    <row r="488" spans="1:35" ht="16.5" x14ac:dyDescent="0.3">
      <c r="A488" s="28"/>
      <c r="B488" s="28"/>
      <c r="C488" s="29"/>
      <c r="D488" s="1">
        <v>68</v>
      </c>
      <c r="E488" s="17" t="s">
        <v>229</v>
      </c>
      <c r="F488" s="22">
        <f>SUM(G488:AF488)</f>
        <v>0</v>
      </c>
      <c r="G488" s="22">
        <f t="shared" si="160"/>
        <v>0</v>
      </c>
      <c r="H488" s="22">
        <f t="shared" si="160"/>
        <v>0</v>
      </c>
      <c r="I488" s="22">
        <f t="shared" si="160"/>
        <v>0</v>
      </c>
      <c r="J488" s="22">
        <f t="shared" si="160"/>
        <v>0</v>
      </c>
      <c r="K488" s="22">
        <f t="shared" si="160"/>
        <v>0</v>
      </c>
      <c r="L488" s="22">
        <f t="shared" si="160"/>
        <v>0</v>
      </c>
      <c r="M488" s="22">
        <f t="shared" si="160"/>
        <v>0</v>
      </c>
      <c r="N488" s="22">
        <f t="shared" si="160"/>
        <v>0</v>
      </c>
      <c r="O488" s="22">
        <f t="shared" si="160"/>
        <v>0</v>
      </c>
      <c r="P488" s="22">
        <f t="shared" si="160"/>
        <v>0</v>
      </c>
      <c r="Q488" s="22">
        <f t="shared" si="160"/>
        <v>0</v>
      </c>
      <c r="R488" s="22">
        <f t="shared" si="160"/>
        <v>0</v>
      </c>
      <c r="S488" s="22">
        <f t="shared" si="160"/>
        <v>0</v>
      </c>
      <c r="T488" s="22">
        <f t="shared" si="160"/>
        <v>0</v>
      </c>
      <c r="U488" s="22">
        <f t="shared" si="160"/>
        <v>0</v>
      </c>
      <c r="V488" s="22">
        <f t="shared" si="160"/>
        <v>0</v>
      </c>
      <c r="X488" s="6"/>
      <c r="Y488" s="6"/>
      <c r="Z488" s="6"/>
      <c r="AA488" s="6"/>
      <c r="AB488" s="6"/>
      <c r="AC488" s="17" t="str">
        <f t="shared" si="141"/>
        <v>Industrial - Non-Firm</v>
      </c>
      <c r="AD488" s="6"/>
      <c r="AE488" s="22">
        <f t="shared" si="161"/>
        <v>0</v>
      </c>
      <c r="AF488" s="22">
        <f t="shared" si="161"/>
        <v>0</v>
      </c>
      <c r="AG488" s="6"/>
      <c r="AH488" s="6"/>
      <c r="AI488" s="6"/>
    </row>
    <row r="489" spans="1:35" ht="16.5" x14ac:dyDescent="0.3">
      <c r="A489" s="28"/>
      <c r="B489" s="28"/>
      <c r="C489" s="29"/>
      <c r="D489" s="1"/>
      <c r="E489" s="20" t="s">
        <v>230</v>
      </c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X489" s="6"/>
      <c r="Y489" s="6"/>
      <c r="Z489" s="6"/>
      <c r="AA489" s="6"/>
      <c r="AB489" s="6"/>
      <c r="AC489" s="20" t="str">
        <f t="shared" si="141"/>
        <v>Rural</v>
      </c>
      <c r="AD489" s="6"/>
      <c r="AE489" s="22"/>
      <c r="AF489" s="22"/>
      <c r="AG489" s="6"/>
      <c r="AH489" s="6"/>
      <c r="AI489" s="6"/>
    </row>
    <row r="490" spans="1:35" ht="16.5" x14ac:dyDescent="0.3">
      <c r="A490" s="28"/>
      <c r="B490" s="28"/>
      <c r="C490" s="29"/>
      <c r="D490" s="1">
        <f t="shared" ref="D490:D499" si="162">MAX(D487:D489)+NoOne</f>
        <v>69</v>
      </c>
      <c r="E490" s="17" t="s">
        <v>232</v>
      </c>
      <c r="F490" s="22">
        <f>SUM(G490:AF490)</f>
        <v>28157866.627418503</v>
      </c>
      <c r="G490" s="22">
        <f>SUM(G460,G475)</f>
        <v>6340859.5987439612</v>
      </c>
      <c r="H490" s="22">
        <f t="shared" ref="G490:V497" si="163">SUM(H460,H475)</f>
        <v>4535571.4522341788</v>
      </c>
      <c r="I490" s="22">
        <f t="shared" si="163"/>
        <v>1509336.9668680413</v>
      </c>
      <c r="J490" s="22">
        <f t="shared" si="163"/>
        <v>3204877.0727097536</v>
      </c>
      <c r="K490" s="22">
        <f t="shared" si="163"/>
        <v>2599331.4820143329</v>
      </c>
      <c r="L490" s="22">
        <f t="shared" si="163"/>
        <v>3530209.8703789706</v>
      </c>
      <c r="M490" s="22">
        <f t="shared" si="163"/>
        <v>1419994.6306712639</v>
      </c>
      <c r="N490" s="22">
        <f t="shared" si="163"/>
        <v>346789.04573711002</v>
      </c>
      <c r="O490" s="22">
        <f t="shared" si="163"/>
        <v>867476.75335406198</v>
      </c>
      <c r="P490" s="22">
        <f t="shared" si="163"/>
        <v>519903.67805326241</v>
      </c>
      <c r="Q490" s="22">
        <f t="shared" si="163"/>
        <v>837761.51037517912</v>
      </c>
      <c r="R490" s="22">
        <f t="shared" si="163"/>
        <v>157735.4140739365</v>
      </c>
      <c r="S490" s="22">
        <f t="shared" si="163"/>
        <v>533474.77621372859</v>
      </c>
      <c r="T490" s="22">
        <f t="shared" si="163"/>
        <v>0</v>
      </c>
      <c r="U490" s="22">
        <f t="shared" si="163"/>
        <v>1754544.375990724</v>
      </c>
      <c r="V490" s="22">
        <f t="shared" si="163"/>
        <v>0</v>
      </c>
      <c r="X490" s="6"/>
      <c r="Y490" s="6"/>
      <c r="Z490" s="6"/>
      <c r="AA490" s="6"/>
      <c r="AB490" s="6"/>
      <c r="AC490" s="17" t="str">
        <f t="shared" si="141"/>
        <v>1.1 Domestic</v>
      </c>
      <c r="AD490" s="6"/>
      <c r="AE490" s="22">
        <f t="shared" ref="AE490:AF497" si="164">SUM(AE460,AE475)</f>
        <v>0</v>
      </c>
      <c r="AF490" s="22">
        <f t="shared" si="164"/>
        <v>0</v>
      </c>
      <c r="AG490" s="6"/>
      <c r="AH490" s="6"/>
      <c r="AI490" s="6"/>
    </row>
    <row r="491" spans="1:35" ht="16.5" x14ac:dyDescent="0.3">
      <c r="A491" s="28"/>
      <c r="B491" s="28"/>
      <c r="C491" s="29"/>
      <c r="D491" s="1">
        <f t="shared" si="162"/>
        <v>70</v>
      </c>
      <c r="E491" s="17" t="s">
        <v>234</v>
      </c>
      <c r="F491" s="22">
        <f t="shared" ref="F491:F497" si="165">SUM(G491:AF491)</f>
        <v>31353542.569406476</v>
      </c>
      <c r="G491" s="22">
        <f t="shared" si="163"/>
        <v>7374688.1293557333</v>
      </c>
      <c r="H491" s="22">
        <f t="shared" si="163"/>
        <v>6127193.9792580362</v>
      </c>
      <c r="I491" s="22">
        <f t="shared" si="163"/>
        <v>1755422.7844698543</v>
      </c>
      <c r="J491" s="22">
        <f t="shared" si="163"/>
        <v>3727407.7017631396</v>
      </c>
      <c r="K491" s="22">
        <f t="shared" si="163"/>
        <v>3023132.546329983</v>
      </c>
      <c r="L491" s="22">
        <f t="shared" si="163"/>
        <v>4105783.517170961</v>
      </c>
      <c r="M491" s="22">
        <f t="shared" si="163"/>
        <v>1078676.7356458528</v>
      </c>
      <c r="N491" s="22">
        <f t="shared" si="163"/>
        <v>403330.34017890348</v>
      </c>
      <c r="O491" s="22">
        <f t="shared" si="163"/>
        <v>658965.1625050744</v>
      </c>
      <c r="P491" s="22">
        <f t="shared" si="163"/>
        <v>604669.98570781609</v>
      </c>
      <c r="Q491" s="22">
        <f t="shared" si="163"/>
        <v>636392.4424376525</v>
      </c>
      <c r="R491" s="22">
        <f t="shared" si="163"/>
        <v>119821.24289342498</v>
      </c>
      <c r="S491" s="22">
        <f t="shared" si="163"/>
        <v>405245.77891086804</v>
      </c>
      <c r="T491" s="22">
        <f t="shared" si="163"/>
        <v>0</v>
      </c>
      <c r="U491" s="22">
        <f t="shared" si="163"/>
        <v>1332812.2227791774</v>
      </c>
      <c r="V491" s="22">
        <f t="shared" si="163"/>
        <v>0</v>
      </c>
      <c r="X491" s="6"/>
      <c r="Y491" s="6"/>
      <c r="Z491" s="6"/>
      <c r="AA491" s="6"/>
      <c r="AB491" s="6"/>
      <c r="AC491" s="17" t="str">
        <f t="shared" si="141"/>
        <v xml:space="preserve">1.12 Domestic All Electric </v>
      </c>
      <c r="AD491" s="6"/>
      <c r="AE491" s="22">
        <f t="shared" si="164"/>
        <v>0</v>
      </c>
      <c r="AF491" s="22">
        <f t="shared" si="164"/>
        <v>0</v>
      </c>
      <c r="AG491" s="6"/>
      <c r="AH491" s="6"/>
      <c r="AI491" s="6"/>
    </row>
    <row r="492" spans="1:35" ht="16.5" x14ac:dyDescent="0.3">
      <c r="A492" s="28"/>
      <c r="B492" s="28"/>
      <c r="C492" s="29"/>
      <c r="D492" s="1">
        <f t="shared" si="162"/>
        <v>71</v>
      </c>
      <c r="E492" s="17" t="s">
        <v>236</v>
      </c>
      <c r="F492" s="22">
        <f t="shared" si="165"/>
        <v>86780.054105246702</v>
      </c>
      <c r="G492" s="22">
        <f t="shared" si="163"/>
        <v>25303.02201922271</v>
      </c>
      <c r="H492" s="22">
        <f t="shared" si="163"/>
        <v>14265.97108545242</v>
      </c>
      <c r="I492" s="22">
        <f t="shared" si="163"/>
        <v>6022.9667464414351</v>
      </c>
      <c r="J492" s="22">
        <f t="shared" si="163"/>
        <v>12788.97188572672</v>
      </c>
      <c r="K492" s="22">
        <f t="shared" si="163"/>
        <v>10372.559224887396</v>
      </c>
      <c r="L492" s="22">
        <f t="shared" si="163"/>
        <v>14087.203271362529</v>
      </c>
      <c r="M492" s="22">
        <f t="shared" si="163"/>
        <v>122.5635570060621</v>
      </c>
      <c r="N492" s="22">
        <f t="shared" si="163"/>
        <v>1383.8519405238837</v>
      </c>
      <c r="O492" s="22">
        <f t="shared" si="163"/>
        <v>74.874252489873058</v>
      </c>
      <c r="P492" s="22">
        <f t="shared" si="163"/>
        <v>2074.6610154027744</v>
      </c>
      <c r="Q492" s="22">
        <f t="shared" si="163"/>
        <v>72.30944992081713</v>
      </c>
      <c r="R492" s="22">
        <f t="shared" si="163"/>
        <v>13.614567968885039</v>
      </c>
      <c r="S492" s="22">
        <f t="shared" si="163"/>
        <v>46.045643225325982</v>
      </c>
      <c r="T492" s="22">
        <f t="shared" si="163"/>
        <v>0</v>
      </c>
      <c r="U492" s="22">
        <f t="shared" si="163"/>
        <v>151.43944561589569</v>
      </c>
      <c r="V492" s="22">
        <f t="shared" si="163"/>
        <v>0</v>
      </c>
      <c r="X492" s="6"/>
      <c r="Y492" s="6"/>
      <c r="Z492" s="6"/>
      <c r="AA492" s="6"/>
      <c r="AB492" s="6"/>
      <c r="AC492" s="17" t="str">
        <f t="shared" si="141"/>
        <v>1.3 Special</v>
      </c>
      <c r="AD492" s="6"/>
      <c r="AE492" s="22">
        <f t="shared" si="164"/>
        <v>0</v>
      </c>
      <c r="AF492" s="22">
        <f t="shared" si="164"/>
        <v>0</v>
      </c>
      <c r="AG492" s="6"/>
      <c r="AH492" s="6"/>
      <c r="AI492" s="6"/>
    </row>
    <row r="493" spans="1:35" ht="16.5" x14ac:dyDescent="0.3">
      <c r="A493" s="28"/>
      <c r="B493" s="28"/>
      <c r="C493" s="29"/>
      <c r="D493" s="1">
        <f t="shared" si="162"/>
        <v>72</v>
      </c>
      <c r="E493" s="17" t="s">
        <v>238</v>
      </c>
      <c r="F493" s="22">
        <f t="shared" si="165"/>
        <v>13595526.704859242</v>
      </c>
      <c r="G493" s="22">
        <f t="shared" si="163"/>
        <v>2937576.6884746468</v>
      </c>
      <c r="H493" s="22">
        <f t="shared" si="163"/>
        <v>3055239.5259814616</v>
      </c>
      <c r="I493" s="22">
        <f t="shared" si="163"/>
        <v>699241.64379903022</v>
      </c>
      <c r="J493" s="22">
        <f t="shared" si="163"/>
        <v>1484746.9860527953</v>
      </c>
      <c r="K493" s="22">
        <f t="shared" si="163"/>
        <v>1204211.4240624558</v>
      </c>
      <c r="L493" s="22">
        <f t="shared" si="163"/>
        <v>1635466.3053417192</v>
      </c>
      <c r="M493" s="22">
        <f t="shared" si="163"/>
        <v>378145.75971025362</v>
      </c>
      <c r="N493" s="22">
        <f t="shared" si="163"/>
        <v>160659.51322711774</v>
      </c>
      <c r="O493" s="22">
        <f t="shared" si="163"/>
        <v>231009.78612361912</v>
      </c>
      <c r="P493" s="22">
        <f t="shared" si="163"/>
        <v>240859.60288476024</v>
      </c>
      <c r="Q493" s="22">
        <f t="shared" si="163"/>
        <v>223096.59202519315</v>
      </c>
      <c r="R493" s="22">
        <f t="shared" si="163"/>
        <v>200369.4561201194</v>
      </c>
      <c r="S493" s="22">
        <f t="shared" si="163"/>
        <v>677666.78390715015</v>
      </c>
      <c r="T493" s="22">
        <f t="shared" si="163"/>
        <v>0</v>
      </c>
      <c r="U493" s="22">
        <f t="shared" si="163"/>
        <v>467236.63714892091</v>
      </c>
      <c r="V493" s="22">
        <f t="shared" si="163"/>
        <v>0</v>
      </c>
      <c r="X493" s="6"/>
      <c r="Y493" s="6"/>
      <c r="Z493" s="6"/>
      <c r="AA493" s="6"/>
      <c r="AB493" s="6"/>
      <c r="AC493" s="17" t="str">
        <f t="shared" si="141"/>
        <v>2.1 GS 0-10 kW</v>
      </c>
      <c r="AD493" s="6"/>
      <c r="AE493" s="22">
        <f t="shared" si="164"/>
        <v>0</v>
      </c>
      <c r="AF493" s="22">
        <f t="shared" si="164"/>
        <v>0</v>
      </c>
      <c r="AG493" s="6"/>
      <c r="AH493" s="6"/>
      <c r="AI493" s="6"/>
    </row>
    <row r="494" spans="1:35" ht="16.5" x14ac:dyDescent="0.3">
      <c r="A494" s="28"/>
      <c r="B494" s="28"/>
      <c r="C494" s="26"/>
      <c r="D494" s="1">
        <f t="shared" si="162"/>
        <v>73</v>
      </c>
      <c r="E494" s="17" t="s">
        <v>240</v>
      </c>
      <c r="F494" s="22">
        <f t="shared" si="165"/>
        <v>0</v>
      </c>
      <c r="G494" s="22">
        <f t="shared" si="163"/>
        <v>0</v>
      </c>
      <c r="H494" s="22">
        <f t="shared" si="163"/>
        <v>0</v>
      </c>
      <c r="I494" s="22">
        <f t="shared" si="163"/>
        <v>0</v>
      </c>
      <c r="J494" s="22">
        <f t="shared" si="163"/>
        <v>0</v>
      </c>
      <c r="K494" s="22">
        <f t="shared" si="163"/>
        <v>0</v>
      </c>
      <c r="L494" s="22">
        <f t="shared" si="163"/>
        <v>0</v>
      </c>
      <c r="M494" s="22">
        <f t="shared" si="163"/>
        <v>0</v>
      </c>
      <c r="N494" s="22">
        <f t="shared" si="163"/>
        <v>0</v>
      </c>
      <c r="O494" s="22">
        <f t="shared" si="163"/>
        <v>0</v>
      </c>
      <c r="P494" s="22">
        <f t="shared" si="163"/>
        <v>0</v>
      </c>
      <c r="Q494" s="22">
        <f t="shared" si="163"/>
        <v>0</v>
      </c>
      <c r="R494" s="22">
        <f t="shared" si="163"/>
        <v>0</v>
      </c>
      <c r="S494" s="22">
        <f t="shared" si="163"/>
        <v>0</v>
      </c>
      <c r="T494" s="22">
        <f t="shared" si="163"/>
        <v>0</v>
      </c>
      <c r="U494" s="22">
        <f t="shared" si="163"/>
        <v>0</v>
      </c>
      <c r="V494" s="22">
        <f t="shared" si="163"/>
        <v>0</v>
      </c>
      <c r="X494" s="6"/>
      <c r="Y494" s="6"/>
      <c r="Z494" s="6"/>
      <c r="AA494" s="6"/>
      <c r="AB494" s="6"/>
      <c r="AC494" s="17" t="str">
        <f t="shared" si="141"/>
        <v>2.2 GS 10-100 kW</v>
      </c>
      <c r="AD494" s="6"/>
      <c r="AE494" s="22">
        <f t="shared" si="164"/>
        <v>0</v>
      </c>
      <c r="AF494" s="22">
        <f t="shared" si="164"/>
        <v>0</v>
      </c>
      <c r="AG494" s="6"/>
      <c r="AH494" s="6"/>
      <c r="AI494" s="6"/>
    </row>
    <row r="495" spans="1:35" ht="16.5" x14ac:dyDescent="0.3">
      <c r="A495" s="28"/>
      <c r="B495" s="28"/>
      <c r="C495" s="26"/>
      <c r="D495" s="1">
        <f t="shared" si="162"/>
        <v>74</v>
      </c>
      <c r="E495" s="17" t="s">
        <v>242</v>
      </c>
      <c r="F495" s="22">
        <f t="shared" si="165"/>
        <v>7883735.56166902</v>
      </c>
      <c r="G495" s="22">
        <f t="shared" si="163"/>
        <v>1947471.9415526683</v>
      </c>
      <c r="H495" s="22">
        <f t="shared" si="163"/>
        <v>2280566.2564412421</v>
      </c>
      <c r="I495" s="22">
        <f t="shared" si="163"/>
        <v>463563.55121093889</v>
      </c>
      <c r="J495" s="22">
        <f t="shared" si="163"/>
        <v>984315.78211636085</v>
      </c>
      <c r="K495" s="22">
        <f t="shared" si="163"/>
        <v>798334.20834931696</v>
      </c>
      <c r="L495" s="22">
        <f t="shared" si="163"/>
        <v>1084235.4357944098</v>
      </c>
      <c r="M495" s="22">
        <f t="shared" si="163"/>
        <v>10407.589958597409</v>
      </c>
      <c r="N495" s="22">
        <f t="shared" si="163"/>
        <v>98763.599527177576</v>
      </c>
      <c r="O495" s="22">
        <f t="shared" si="163"/>
        <v>6358.0116097034206</v>
      </c>
      <c r="P495" s="22">
        <f t="shared" si="163"/>
        <v>148065.68801162206</v>
      </c>
      <c r="Q495" s="22">
        <f t="shared" si="163"/>
        <v>6140.2191915038484</v>
      </c>
      <c r="R495" s="22">
        <f t="shared" si="163"/>
        <v>9733.6438633772577</v>
      </c>
      <c r="S495" s="22">
        <f t="shared" si="163"/>
        <v>32920.023142839207</v>
      </c>
      <c r="T495" s="22">
        <f t="shared" si="163"/>
        <v>0</v>
      </c>
      <c r="U495" s="22">
        <f t="shared" si="163"/>
        <v>12859.61089926264</v>
      </c>
      <c r="V495" s="22">
        <f t="shared" si="163"/>
        <v>0</v>
      </c>
      <c r="X495" s="6"/>
      <c r="Y495" s="6"/>
      <c r="Z495" s="6"/>
      <c r="AA495" s="6"/>
      <c r="AB495" s="6"/>
      <c r="AC495" s="17" t="str">
        <f t="shared" si="141"/>
        <v>2.3 GS 110-1,000 kVa</v>
      </c>
      <c r="AD495" s="6"/>
      <c r="AE495" s="22">
        <f t="shared" si="164"/>
        <v>0</v>
      </c>
      <c r="AF495" s="22">
        <f t="shared" si="164"/>
        <v>0</v>
      </c>
      <c r="AG495" s="6"/>
      <c r="AH495" s="6"/>
      <c r="AI495" s="6"/>
    </row>
    <row r="496" spans="1:35" ht="16.5" x14ac:dyDescent="0.3">
      <c r="A496" s="28"/>
      <c r="B496" s="28"/>
      <c r="C496" s="26"/>
      <c r="D496" s="1">
        <f t="shared" si="162"/>
        <v>75</v>
      </c>
      <c r="E496" s="17" t="s">
        <v>244</v>
      </c>
      <c r="F496" s="22">
        <f t="shared" si="165"/>
        <v>4783801.5014610933</v>
      </c>
      <c r="G496" s="22">
        <f t="shared" si="163"/>
        <v>1134501.0350626202</v>
      </c>
      <c r="H496" s="22">
        <f t="shared" si="163"/>
        <v>1637646.3257471439</v>
      </c>
      <c r="I496" s="22">
        <f t="shared" si="163"/>
        <v>270049.24561162986</v>
      </c>
      <c r="J496" s="22">
        <f t="shared" si="163"/>
        <v>573413.79344811651</v>
      </c>
      <c r="K496" s="22">
        <f t="shared" si="163"/>
        <v>465070.10775010096</v>
      </c>
      <c r="L496" s="22">
        <f t="shared" si="163"/>
        <v>631622.05211523082</v>
      </c>
      <c r="M496" s="22">
        <f t="shared" si="163"/>
        <v>995.06992783130704</v>
      </c>
      <c r="N496" s="22">
        <f t="shared" si="163"/>
        <v>25608.783376335639</v>
      </c>
      <c r="O496" s="22">
        <f t="shared" si="163"/>
        <v>607.88964388358886</v>
      </c>
      <c r="P496" s="22">
        <f t="shared" si="163"/>
        <v>38392.50642858872</v>
      </c>
      <c r="Q496" s="22">
        <f t="shared" si="163"/>
        <v>587.06650550840459</v>
      </c>
      <c r="R496" s="22">
        <f t="shared" si="163"/>
        <v>930.63392535612104</v>
      </c>
      <c r="S496" s="22">
        <f t="shared" si="163"/>
        <v>3147.4842094340743</v>
      </c>
      <c r="T496" s="22">
        <f t="shared" si="163"/>
        <v>0</v>
      </c>
      <c r="U496" s="22">
        <f t="shared" si="163"/>
        <v>1229.5077093133734</v>
      </c>
      <c r="V496" s="22">
        <f t="shared" si="163"/>
        <v>0</v>
      </c>
      <c r="X496" s="6"/>
      <c r="Y496" s="6"/>
      <c r="Z496" s="1"/>
      <c r="AA496" s="6"/>
      <c r="AB496" s="6"/>
      <c r="AC496" s="17" t="str">
        <f t="shared" si="141"/>
        <v>2.4 GS Over 1,000 kVa</v>
      </c>
      <c r="AD496" s="6"/>
      <c r="AE496" s="22">
        <f t="shared" si="164"/>
        <v>0</v>
      </c>
      <c r="AF496" s="22">
        <f t="shared" si="164"/>
        <v>0</v>
      </c>
      <c r="AG496" s="6"/>
      <c r="AH496" s="6"/>
      <c r="AI496" s="6"/>
    </row>
    <row r="497" spans="1:35" ht="16.5" x14ac:dyDescent="0.3">
      <c r="A497" s="28"/>
      <c r="B497" s="28"/>
      <c r="C497" s="26"/>
      <c r="D497" s="1">
        <f t="shared" si="162"/>
        <v>76</v>
      </c>
      <c r="E497" s="17" t="s">
        <v>246</v>
      </c>
      <c r="F497" s="34">
        <f t="shared" si="165"/>
        <v>1454176.1955217286</v>
      </c>
      <c r="G497" s="22">
        <f t="shared" si="163"/>
        <v>121491.95164955959</v>
      </c>
      <c r="H497" s="22">
        <f t="shared" si="163"/>
        <v>87080.605202352075</v>
      </c>
      <c r="I497" s="22">
        <f t="shared" si="163"/>
        <v>28919.153774978477</v>
      </c>
      <c r="J497" s="22">
        <f t="shared" si="163"/>
        <v>61405.991458565593</v>
      </c>
      <c r="K497" s="22">
        <f t="shared" si="163"/>
        <v>49803.634636007184</v>
      </c>
      <c r="L497" s="22">
        <f t="shared" si="163"/>
        <v>67639.42336301491</v>
      </c>
      <c r="M497" s="22">
        <f t="shared" si="163"/>
        <v>131301.93872334287</v>
      </c>
      <c r="N497" s="22">
        <f t="shared" si="163"/>
        <v>6644.5372778220262</v>
      </c>
      <c r="O497" s="22">
        <f t="shared" si="163"/>
        <v>80212.542394597433</v>
      </c>
      <c r="P497" s="22">
        <f t="shared" si="163"/>
        <v>9961.4431660002538</v>
      </c>
      <c r="Q497" s="22">
        <f t="shared" si="163"/>
        <v>77464.877770740291</v>
      </c>
      <c r="R497" s="22">
        <f t="shared" si="163"/>
        <v>0</v>
      </c>
      <c r="S497" s="22">
        <f t="shared" si="163"/>
        <v>0</v>
      </c>
      <c r="T497" s="22">
        <f t="shared" si="163"/>
        <v>570013.51212920423</v>
      </c>
      <c r="U497" s="22">
        <f t="shared" si="163"/>
        <v>162236.58397554385</v>
      </c>
      <c r="V497" s="22">
        <f t="shared" si="163"/>
        <v>0</v>
      </c>
      <c r="X497" s="6"/>
      <c r="Y497" s="6"/>
      <c r="Z497" s="6"/>
      <c r="AA497" s="6"/>
      <c r="AB497" s="6"/>
      <c r="AC497" s="17" t="str">
        <f t="shared" si="141"/>
        <v>4.1 Street and Area Lighting</v>
      </c>
      <c r="AD497" s="6"/>
      <c r="AE497" s="22">
        <f t="shared" si="164"/>
        <v>0</v>
      </c>
      <c r="AF497" s="22">
        <f t="shared" si="164"/>
        <v>0</v>
      </c>
      <c r="AG497" s="6"/>
      <c r="AH497" s="6"/>
      <c r="AI497" s="6"/>
    </row>
    <row r="498" spans="1:35" ht="16.5" x14ac:dyDescent="0.3">
      <c r="A498" s="28"/>
      <c r="B498" s="28"/>
      <c r="C498" s="26"/>
      <c r="D498" s="1">
        <f t="shared" si="162"/>
        <v>77</v>
      </c>
      <c r="E498" s="20" t="s">
        <v>247</v>
      </c>
      <c r="F498" s="30">
        <f>SUM(F490:F497)</f>
        <v>87315429.214441314</v>
      </c>
      <c r="G498" s="30">
        <f>SUM(G490:G497)</f>
        <v>19881892.366858408</v>
      </c>
      <c r="H498" s="30">
        <f>SUM(H490:H497)</f>
        <v>17737564.115949865</v>
      </c>
      <c r="I498" s="30">
        <f>SUM(I490:I497)</f>
        <v>4732556.3124809144</v>
      </c>
      <c r="J498" s="30">
        <f t="shared" ref="J498:V498" si="166">SUM(J490:J497)</f>
        <v>10048956.299434457</v>
      </c>
      <c r="K498" s="30">
        <f t="shared" si="166"/>
        <v>8150255.9623670857</v>
      </c>
      <c r="L498" s="30">
        <f t="shared" si="166"/>
        <v>11069043.807435669</v>
      </c>
      <c r="M498" s="30">
        <f t="shared" si="166"/>
        <v>3019644.2881941479</v>
      </c>
      <c r="N498" s="30">
        <f t="shared" si="166"/>
        <v>1043179.6712649903</v>
      </c>
      <c r="O498" s="30">
        <f t="shared" si="166"/>
        <v>1844705.0198834296</v>
      </c>
      <c r="P498" s="30">
        <f t="shared" si="166"/>
        <v>1563927.5652674525</v>
      </c>
      <c r="Q498" s="30">
        <f t="shared" si="166"/>
        <v>1781515.0177556984</v>
      </c>
      <c r="R498" s="30">
        <f t="shared" si="166"/>
        <v>488604.00544418319</v>
      </c>
      <c r="S498" s="30">
        <f t="shared" si="166"/>
        <v>1652500.8920272456</v>
      </c>
      <c r="T498" s="30">
        <f t="shared" si="166"/>
        <v>570013.51212920423</v>
      </c>
      <c r="U498" s="30">
        <f t="shared" si="166"/>
        <v>3731070.3779485575</v>
      </c>
      <c r="V498" s="30">
        <f t="shared" si="166"/>
        <v>0</v>
      </c>
      <c r="X498" s="6"/>
      <c r="Y498" s="6"/>
      <c r="Z498" s="6"/>
      <c r="AA498" s="6"/>
      <c r="AB498" s="6"/>
      <c r="AC498" s="20" t="str">
        <f t="shared" si="141"/>
        <v xml:space="preserve">    Subtotal Rural</v>
      </c>
      <c r="AD498" s="6"/>
      <c r="AE498" s="30">
        <f>SUM(AE490:AE497)</f>
        <v>0</v>
      </c>
      <c r="AF498" s="30">
        <f>SUM(AF490:AF497)</f>
        <v>0</v>
      </c>
      <c r="AG498" s="6"/>
      <c r="AH498" s="6"/>
      <c r="AI498" s="6"/>
    </row>
    <row r="499" spans="1:35" ht="17.25" thickBot="1" x14ac:dyDescent="0.35">
      <c r="A499" s="28">
        <f>(SUM(G499:AF499)-F499)*1000</f>
        <v>-1.1920928955078125E-4</v>
      </c>
      <c r="B499" s="28"/>
      <c r="C499" s="26"/>
      <c r="D499" s="1">
        <f t="shared" si="162"/>
        <v>78</v>
      </c>
      <c r="E499" s="20" t="s">
        <v>248</v>
      </c>
      <c r="F499" s="55">
        <f>SUM(F498,F486:F488)</f>
        <v>704167990.86005235</v>
      </c>
      <c r="G499" s="55">
        <f>SUM(G498,G486:G488)</f>
        <v>311848208.01645285</v>
      </c>
      <c r="H499" s="55">
        <f>SUM(H498,H486:H488)</f>
        <v>268197249.46835944</v>
      </c>
      <c r="I499" s="55">
        <f>SUM(I498,I486:I488)</f>
        <v>76002507.133793592</v>
      </c>
      <c r="J499" s="55">
        <f t="shared" ref="J499:V499" si="167">SUM(J498,J486:J488)</f>
        <v>10048956.299434457</v>
      </c>
      <c r="K499" s="55">
        <f t="shared" si="167"/>
        <v>8150255.9623670857</v>
      </c>
      <c r="L499" s="55">
        <f t="shared" si="167"/>
        <v>11069043.807435669</v>
      </c>
      <c r="M499" s="55">
        <f t="shared" si="167"/>
        <v>3019644.2881941479</v>
      </c>
      <c r="N499" s="55">
        <f t="shared" si="167"/>
        <v>1043179.6712649903</v>
      </c>
      <c r="O499" s="55">
        <f t="shared" si="167"/>
        <v>1844705.0198834296</v>
      </c>
      <c r="P499" s="55">
        <f t="shared" si="167"/>
        <v>1563927.5652674525</v>
      </c>
      <c r="Q499" s="55">
        <f t="shared" si="167"/>
        <v>1781515.0177556984</v>
      </c>
      <c r="R499" s="55">
        <f t="shared" si="167"/>
        <v>488604.00544418319</v>
      </c>
      <c r="S499" s="55">
        <f t="shared" si="167"/>
        <v>1652500.8920272456</v>
      </c>
      <c r="T499" s="55">
        <f t="shared" si="167"/>
        <v>570013.51212920423</v>
      </c>
      <c r="U499" s="55">
        <f t="shared" si="167"/>
        <v>3731070.3779485575</v>
      </c>
      <c r="V499" s="55">
        <f t="shared" si="167"/>
        <v>3156609.822294306</v>
      </c>
      <c r="X499" s="6"/>
      <c r="Y499" s="6"/>
      <c r="Z499" s="6"/>
      <c r="AA499" s="6"/>
      <c r="AB499" s="6"/>
      <c r="AC499" s="20" t="str">
        <f t="shared" si="141"/>
        <v xml:space="preserve">      Total</v>
      </c>
      <c r="AD499" s="6"/>
      <c r="AE499" s="55">
        <f>SUM(AE498,AE486:AE488)</f>
        <v>0</v>
      </c>
      <c r="AF499" s="55">
        <f>SUM(AF498,AF486:AF488)</f>
        <v>0</v>
      </c>
      <c r="AG499" s="6"/>
      <c r="AH499" s="6"/>
      <c r="AI499" s="6"/>
    </row>
    <row r="500" spans="1:35" ht="17.25" thickTop="1" x14ac:dyDescent="0.3">
      <c r="A500" s="28"/>
      <c r="B500" s="28"/>
      <c r="C500" s="26"/>
      <c r="D500" s="1"/>
      <c r="E500" s="20"/>
      <c r="F500" s="64"/>
      <c r="G500" s="64"/>
      <c r="H500" s="64"/>
      <c r="I500" s="64"/>
      <c r="J500" s="64"/>
      <c r="K500" s="64"/>
      <c r="L500" s="64"/>
      <c r="M500" s="64"/>
      <c r="N500" s="64"/>
      <c r="O500" s="64"/>
      <c r="P500" s="64"/>
      <c r="Q500" s="64"/>
      <c r="R500" s="64"/>
      <c r="S500" s="64"/>
      <c r="T500" s="64"/>
      <c r="U500" s="64"/>
      <c r="V500" s="64"/>
      <c r="X500" s="6"/>
      <c r="Y500" s="6"/>
      <c r="Z500" s="6"/>
      <c r="AA500" s="6"/>
      <c r="AB500" s="6"/>
      <c r="AC500" s="20"/>
      <c r="AD500" s="6"/>
      <c r="AE500" s="64"/>
      <c r="AF500" s="64"/>
      <c r="AG500" s="6"/>
      <c r="AH500" s="6"/>
      <c r="AI500" s="6"/>
    </row>
    <row r="501" spans="1:35" ht="16.5" x14ac:dyDescent="0.3">
      <c r="A501" s="28"/>
      <c r="B501" s="28"/>
      <c r="C501" s="26"/>
      <c r="D501" s="1"/>
      <c r="E501" s="20" t="s">
        <v>265</v>
      </c>
      <c r="F501" s="64"/>
      <c r="G501" s="64"/>
      <c r="H501" s="64"/>
      <c r="I501" s="64"/>
      <c r="J501" s="64"/>
      <c r="K501" s="64"/>
      <c r="L501" s="64"/>
      <c r="M501" s="64"/>
      <c r="N501" s="64"/>
      <c r="O501" s="64"/>
      <c r="P501" s="64"/>
      <c r="Q501" s="64"/>
      <c r="R501" s="64"/>
      <c r="S501" s="64"/>
      <c r="T501" s="64"/>
      <c r="U501" s="64"/>
      <c r="V501" s="64"/>
      <c r="X501" s="6"/>
      <c r="Y501" s="6"/>
      <c r="Z501" s="6"/>
      <c r="AA501" s="6"/>
      <c r="AB501" s="6"/>
      <c r="AC501" s="20"/>
      <c r="AD501" s="6"/>
      <c r="AE501" s="64"/>
      <c r="AF501" s="64"/>
      <c r="AG501" s="6"/>
      <c r="AH501" s="6"/>
      <c r="AI501" s="6"/>
    </row>
    <row r="502" spans="1:35" ht="16.5" x14ac:dyDescent="0.3">
      <c r="A502" s="28"/>
      <c r="B502" s="28"/>
      <c r="C502" s="26"/>
      <c r="D502" s="1"/>
      <c r="E502" s="6" t="s">
        <v>224</v>
      </c>
      <c r="F502" s="64">
        <f>SUM(G502:I502)</f>
        <v>-435587126.90141916</v>
      </c>
      <c r="G502" s="64">
        <v>-221438250.6451931</v>
      </c>
      <c r="H502" s="64">
        <v>-214148876.25622606</v>
      </c>
      <c r="I502" s="64">
        <v>0</v>
      </c>
      <c r="J502" s="109">
        <f>G366</f>
        <v>0.88738604118773867</v>
      </c>
      <c r="K502" s="109">
        <f t="shared" ref="K502:L504" si="168">H366</f>
        <v>0.8483695330439589</v>
      </c>
      <c r="L502" s="109">
        <f t="shared" si="168"/>
        <v>0.89001457100935721</v>
      </c>
      <c r="M502" s="64"/>
      <c r="N502" s="64"/>
      <c r="O502" s="64"/>
      <c r="P502" s="64"/>
      <c r="Q502" s="64"/>
      <c r="R502" s="64"/>
      <c r="S502" s="64"/>
      <c r="T502" s="64"/>
      <c r="U502" s="64"/>
      <c r="V502" s="64"/>
      <c r="X502" s="6"/>
      <c r="Y502" s="6"/>
      <c r="Z502" s="6"/>
      <c r="AA502" s="6"/>
      <c r="AB502" s="6"/>
      <c r="AC502" s="20"/>
      <c r="AD502" s="6"/>
      <c r="AE502" s="64"/>
      <c r="AF502" s="64"/>
      <c r="AG502" s="6"/>
      <c r="AH502" s="6"/>
      <c r="AI502" s="6"/>
    </row>
    <row r="503" spans="1:35" ht="16.5" x14ac:dyDescent="0.3">
      <c r="A503" s="28"/>
      <c r="B503" s="28"/>
      <c r="C503" s="26"/>
      <c r="D503" s="1"/>
      <c r="E503" s="17" t="s">
        <v>227</v>
      </c>
      <c r="F503" s="64">
        <f t="shared" ref="F503:F505" si="169">SUM(G503:I503)</f>
        <v>-34269260.353916034</v>
      </c>
      <c r="G503" s="64">
        <v>-12430206.004208017</v>
      </c>
      <c r="H503" s="64">
        <v>-21839054.349708017</v>
      </c>
      <c r="I503" s="64">
        <v>0</v>
      </c>
      <c r="J503" s="109">
        <f>G367</f>
        <v>4.9812492941411594E-2</v>
      </c>
      <c r="K503" s="109">
        <f t="shared" si="168"/>
        <v>8.6517326939485953E-2</v>
      </c>
      <c r="L503" s="109">
        <f t="shared" si="168"/>
        <v>4.8649816266453899E-2</v>
      </c>
      <c r="M503" s="64"/>
      <c r="N503" s="64"/>
      <c r="O503" s="64"/>
      <c r="P503" s="64"/>
      <c r="Q503" s="64"/>
      <c r="R503" s="64"/>
      <c r="S503" s="64"/>
      <c r="T503" s="64"/>
      <c r="U503" s="64"/>
      <c r="V503" s="64"/>
      <c r="X503" s="6"/>
      <c r="Y503" s="6"/>
      <c r="Z503" s="6"/>
      <c r="AA503" s="6"/>
      <c r="AB503" s="6"/>
      <c r="AC503" s="20"/>
      <c r="AD503" s="6"/>
      <c r="AE503" s="64"/>
      <c r="AF503" s="64"/>
      <c r="AG503" s="6"/>
      <c r="AH503" s="6"/>
      <c r="AI503" s="6"/>
    </row>
    <row r="504" spans="1:35" ht="16.5" x14ac:dyDescent="0.3">
      <c r="A504" s="28"/>
      <c r="B504" s="28"/>
      <c r="C504" s="26"/>
      <c r="D504" s="1"/>
      <c r="E504" s="17" t="s">
        <v>229</v>
      </c>
      <c r="F504" s="64">
        <f t="shared" si="169"/>
        <v>0</v>
      </c>
      <c r="G504" s="64">
        <v>0</v>
      </c>
      <c r="H504" s="64">
        <v>0</v>
      </c>
      <c r="I504" s="64">
        <v>0</v>
      </c>
      <c r="J504" s="109">
        <f>G368</f>
        <v>0</v>
      </c>
      <c r="K504" s="109">
        <f t="shared" si="168"/>
        <v>0</v>
      </c>
      <c r="L504" s="109">
        <f t="shared" si="168"/>
        <v>0</v>
      </c>
      <c r="M504" s="64"/>
      <c r="N504" s="64"/>
      <c r="O504" s="64"/>
      <c r="P504" s="64"/>
      <c r="Q504" s="64"/>
      <c r="R504" s="64"/>
      <c r="S504" s="64"/>
      <c r="T504" s="64"/>
      <c r="U504" s="64"/>
      <c r="V504" s="64"/>
      <c r="W504" s="64"/>
      <c r="X504" s="6"/>
      <c r="Y504" s="6"/>
      <c r="Z504" s="6"/>
      <c r="AA504" s="6"/>
      <c r="AB504" s="6"/>
      <c r="AC504" s="20"/>
      <c r="AD504" s="6"/>
      <c r="AE504" s="64"/>
      <c r="AF504" s="64"/>
      <c r="AG504" s="6"/>
      <c r="AH504" s="6"/>
      <c r="AI504" s="6"/>
    </row>
    <row r="505" spans="1:35" ht="16.5" x14ac:dyDescent="0.3">
      <c r="A505" s="28"/>
      <c r="B505" s="28"/>
      <c r="C505" s="26"/>
      <c r="D505" s="1"/>
      <c r="E505" s="6" t="s">
        <v>266</v>
      </c>
      <c r="F505" s="64">
        <f t="shared" si="169"/>
        <v>-32107596.128737524</v>
      </c>
      <c r="G505" s="64">
        <v>-15671473.400439272</v>
      </c>
      <c r="H505" s="64">
        <v>-16436122.728298251</v>
      </c>
      <c r="I505" s="64">
        <v>0</v>
      </c>
      <c r="J505" s="109">
        <f>G378</f>
        <v>6.2801465870849699E-2</v>
      </c>
      <c r="K505" s="109">
        <f t="shared" ref="K505:L505" si="170">H378</f>
        <v>6.5113140016555132E-2</v>
      </c>
      <c r="L505" s="109">
        <f t="shared" si="170"/>
        <v>6.1335612724188852E-2</v>
      </c>
      <c r="M505" s="64"/>
      <c r="N505" s="64"/>
      <c r="O505" s="64"/>
      <c r="P505" s="64"/>
      <c r="Q505" s="64"/>
      <c r="R505" s="64"/>
      <c r="S505" s="64"/>
      <c r="T505" s="64"/>
      <c r="U505" s="64"/>
      <c r="V505" s="64"/>
      <c r="W505" s="64"/>
      <c r="X505" s="6"/>
      <c r="Y505" s="6"/>
      <c r="Z505" s="6"/>
      <c r="AA505" s="6"/>
      <c r="AB505" s="6"/>
      <c r="AC505" s="20"/>
      <c r="AD505" s="6"/>
      <c r="AE505" s="64"/>
      <c r="AF505" s="64"/>
      <c r="AG505" s="6"/>
      <c r="AH505" s="6"/>
      <c r="AI505" s="6"/>
    </row>
    <row r="506" spans="1:35" ht="16.5" x14ac:dyDescent="0.3">
      <c r="A506" s="28"/>
      <c r="B506" s="28"/>
      <c r="C506" s="26"/>
      <c r="D506" s="1"/>
      <c r="E506" s="17" t="s">
        <v>15</v>
      </c>
      <c r="F506" s="110">
        <f>SUM(F502:F505)</f>
        <v>-501963983.38407272</v>
      </c>
      <c r="G506" s="110">
        <f t="shared" ref="G506:I506" si="171">SUM(G502:G505)</f>
        <v>-249539930.04984039</v>
      </c>
      <c r="H506" s="110">
        <f t="shared" si="171"/>
        <v>-252424053.33423233</v>
      </c>
      <c r="I506" s="110">
        <f t="shared" si="171"/>
        <v>0</v>
      </c>
      <c r="J506" s="64"/>
      <c r="K506" s="64"/>
      <c r="L506" s="64"/>
      <c r="M506" s="64"/>
      <c r="N506" s="64"/>
      <c r="O506" s="64"/>
      <c r="P506" s="64"/>
      <c r="Q506" s="64"/>
      <c r="R506" s="64"/>
      <c r="S506" s="64"/>
      <c r="T506" s="64"/>
      <c r="U506" s="64"/>
      <c r="V506" s="64"/>
      <c r="W506" s="64"/>
      <c r="X506" s="6"/>
      <c r="Y506" s="6"/>
      <c r="Z506" s="6"/>
      <c r="AA506" s="6"/>
      <c r="AB506" s="6"/>
      <c r="AC506" s="20"/>
      <c r="AD506" s="6"/>
      <c r="AE506" s="64"/>
      <c r="AF506" s="64"/>
      <c r="AG506" s="6"/>
      <c r="AH506" s="6"/>
      <c r="AI506" s="6"/>
    </row>
    <row r="507" spans="1:35" ht="16.5" x14ac:dyDescent="0.3">
      <c r="A507" s="28"/>
      <c r="B507" s="28"/>
      <c r="C507" s="26"/>
      <c r="D507" s="1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6"/>
      <c r="T507" s="6"/>
      <c r="V507" s="42" t="s">
        <v>267</v>
      </c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</row>
    <row r="508" spans="1:35" ht="16.5" x14ac:dyDescent="0.3">
      <c r="A508" s="28"/>
      <c r="B508" s="28"/>
      <c r="C508" s="26"/>
      <c r="D508" s="1"/>
      <c r="E508" s="6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V508" s="42" t="s">
        <v>110</v>
      </c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</row>
    <row r="509" spans="1:35" ht="16.5" x14ac:dyDescent="0.3">
      <c r="A509" s="43"/>
      <c r="B509" s="43"/>
      <c r="C509" s="44"/>
      <c r="D509" s="8" t="str">
        <f>D5</f>
        <v>NEWFOUNDLAND AND LABRADOR HYDRO</v>
      </c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8"/>
      <c r="W509" s="10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</row>
    <row r="510" spans="1:35" ht="16.5" x14ac:dyDescent="0.3">
      <c r="A510" s="43"/>
      <c r="B510" s="43"/>
      <c r="C510" s="44"/>
      <c r="D510" s="8" t="str">
        <f>D6</f>
        <v>2027 Test Year Cost of Service Study</v>
      </c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8"/>
      <c r="W510" s="10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</row>
    <row r="511" spans="1:35" ht="16.5" x14ac:dyDescent="0.3">
      <c r="A511" s="43"/>
      <c r="B511" s="43"/>
      <c r="C511" s="44"/>
      <c r="D511" s="8" t="str">
        <f>$B$1</f>
        <v>Island Interconnected</v>
      </c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8"/>
      <c r="W511" s="10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</row>
    <row r="512" spans="1:35" ht="16.5" x14ac:dyDescent="0.3">
      <c r="A512" s="43"/>
      <c r="B512" s="43"/>
      <c r="C512" s="44"/>
      <c r="D512" s="8" t="s">
        <v>268</v>
      </c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8"/>
      <c r="W512" s="10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</row>
    <row r="513" spans="1:35" ht="16.5" x14ac:dyDescent="0.3">
      <c r="A513" s="28"/>
      <c r="B513" s="28"/>
      <c r="C513" s="26"/>
      <c r="D513" s="1"/>
      <c r="E513" s="6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</row>
    <row r="514" spans="1:35" s="12" customFormat="1" ht="16.5" x14ac:dyDescent="0.3">
      <c r="A514" s="45"/>
      <c r="B514" s="45"/>
      <c r="C514" s="45" t="s">
        <v>39</v>
      </c>
      <c r="D514" s="1"/>
      <c r="E514" s="1">
        <f t="shared" ref="E514:V514" si="172">MAX(D514)+NoOne</f>
        <v>1</v>
      </c>
      <c r="F514" s="1">
        <f t="shared" si="172"/>
        <v>2</v>
      </c>
      <c r="G514" s="1">
        <f t="shared" si="172"/>
        <v>3</v>
      </c>
      <c r="H514" s="1">
        <f t="shared" si="172"/>
        <v>4</v>
      </c>
      <c r="I514" s="1">
        <f t="shared" si="172"/>
        <v>5</v>
      </c>
      <c r="J514" s="1">
        <f t="shared" si="172"/>
        <v>6</v>
      </c>
      <c r="K514" s="1">
        <f t="shared" si="172"/>
        <v>7</v>
      </c>
      <c r="L514" s="1">
        <f t="shared" si="172"/>
        <v>8</v>
      </c>
      <c r="M514" s="1">
        <f t="shared" si="172"/>
        <v>9</v>
      </c>
      <c r="N514" s="1">
        <f t="shared" si="172"/>
        <v>10</v>
      </c>
      <c r="O514" s="1">
        <f t="shared" si="172"/>
        <v>11</v>
      </c>
      <c r="P514" s="1">
        <f t="shared" si="172"/>
        <v>12</v>
      </c>
      <c r="Q514" s="1">
        <f t="shared" si="172"/>
        <v>13</v>
      </c>
      <c r="R514" s="1">
        <f t="shared" si="172"/>
        <v>14</v>
      </c>
      <c r="S514" s="1">
        <f t="shared" si="172"/>
        <v>15</v>
      </c>
      <c r="T514" s="1">
        <f t="shared" si="172"/>
        <v>16</v>
      </c>
      <c r="U514" s="1">
        <f t="shared" si="172"/>
        <v>17</v>
      </c>
      <c r="V514" s="1">
        <f t="shared" si="172"/>
        <v>18</v>
      </c>
      <c r="W514" s="1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/>
    </row>
    <row r="515" spans="1:35" s="12" customFormat="1" ht="16.5" x14ac:dyDescent="0.3">
      <c r="A515" s="45"/>
      <c r="B515" s="45"/>
      <c r="C515" s="46"/>
      <c r="D515" s="1"/>
      <c r="E515" s="13"/>
      <c r="F515" s="25"/>
      <c r="G515" s="111" t="s">
        <v>269</v>
      </c>
      <c r="H515" s="112"/>
      <c r="I515" s="112"/>
      <c r="J515" s="113"/>
      <c r="K515" s="111" t="s">
        <v>183</v>
      </c>
      <c r="L515" s="112"/>
      <c r="M515" s="112"/>
      <c r="N515" s="113"/>
      <c r="O515" s="111" t="s">
        <v>184</v>
      </c>
      <c r="P515" s="113"/>
      <c r="Q515" s="25"/>
      <c r="R515" s="25" t="s">
        <v>270</v>
      </c>
      <c r="S515" s="25"/>
      <c r="T515" s="25"/>
      <c r="U515" s="25" t="s">
        <v>270</v>
      </c>
      <c r="V515" s="25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  <c r="AI515" s="13"/>
    </row>
    <row r="516" spans="1:35" s="12" customFormat="1" ht="16.5" x14ac:dyDescent="0.3">
      <c r="A516" s="45"/>
      <c r="B516" s="45"/>
      <c r="C516" s="46" t="s">
        <v>39</v>
      </c>
      <c r="D516" s="1" t="s">
        <v>14</v>
      </c>
      <c r="E516" s="13"/>
      <c r="F516" s="25"/>
      <c r="G516" s="237" t="s">
        <v>17</v>
      </c>
      <c r="H516" s="237"/>
      <c r="I516" s="84" t="s">
        <v>271</v>
      </c>
      <c r="J516" s="25"/>
      <c r="K516" s="114" t="s">
        <v>17</v>
      </c>
      <c r="L516" s="114"/>
      <c r="M516" s="84" t="s">
        <v>272</v>
      </c>
      <c r="N516" s="25"/>
      <c r="O516" s="25" t="s">
        <v>273</v>
      </c>
      <c r="P516" s="25"/>
      <c r="Q516" s="25" t="s">
        <v>39</v>
      </c>
      <c r="R516" s="25" t="s">
        <v>274</v>
      </c>
      <c r="S516" s="84" t="s">
        <v>275</v>
      </c>
      <c r="T516" s="84" t="s">
        <v>275</v>
      </c>
      <c r="U516" s="25" t="s">
        <v>276</v>
      </c>
      <c r="V516" s="25" t="s">
        <v>277</v>
      </c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/>
    </row>
    <row r="517" spans="1:35" s="12" customFormat="1" ht="16.5" x14ac:dyDescent="0.3">
      <c r="A517" s="45"/>
      <c r="B517" s="45"/>
      <c r="C517" s="46" t="s">
        <v>39</v>
      </c>
      <c r="D517" s="1" t="s">
        <v>30</v>
      </c>
      <c r="E517" s="13" t="s">
        <v>31</v>
      </c>
      <c r="F517" s="25" t="s">
        <v>15</v>
      </c>
      <c r="G517" s="25" t="s">
        <v>67</v>
      </c>
      <c r="H517" s="25" t="s">
        <v>278</v>
      </c>
      <c r="I517" s="25" t="s">
        <v>92</v>
      </c>
      <c r="J517" s="25" t="s">
        <v>142</v>
      </c>
      <c r="K517" s="25" t="s">
        <v>67</v>
      </c>
      <c r="L517" s="25" t="s">
        <v>278</v>
      </c>
      <c r="M517" s="84" t="s">
        <v>279</v>
      </c>
      <c r="N517" s="25" t="s">
        <v>92</v>
      </c>
      <c r="O517" s="25" t="s">
        <v>280</v>
      </c>
      <c r="P517" s="25" t="s">
        <v>142</v>
      </c>
      <c r="Q517" s="25" t="s">
        <v>281</v>
      </c>
      <c r="R517" s="25" t="s">
        <v>282</v>
      </c>
      <c r="S517" s="25" t="s">
        <v>283</v>
      </c>
      <c r="T517" s="25" t="s">
        <v>284</v>
      </c>
      <c r="U517" s="25" t="s">
        <v>285</v>
      </c>
      <c r="V517" s="25" t="s">
        <v>285</v>
      </c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  <c r="AI517" s="13"/>
    </row>
    <row r="518" spans="1:35" s="12" customFormat="1" ht="16.5" x14ac:dyDescent="0.3">
      <c r="A518" s="45"/>
      <c r="B518" s="45"/>
      <c r="C518" s="46" t="s">
        <v>39</v>
      </c>
      <c r="D518" s="1"/>
      <c r="E518" s="13"/>
      <c r="F518" s="25" t="s">
        <v>32</v>
      </c>
      <c r="G518" s="25" t="s">
        <v>37</v>
      </c>
      <c r="H518" s="25" t="s">
        <v>37</v>
      </c>
      <c r="I518" s="25" t="s">
        <v>37</v>
      </c>
      <c r="J518" s="25" t="s">
        <v>37</v>
      </c>
      <c r="K518" s="25" t="s">
        <v>37</v>
      </c>
      <c r="L518" s="25" t="s">
        <v>37</v>
      </c>
      <c r="M518" s="25" t="s">
        <v>37</v>
      </c>
      <c r="N518" s="25" t="s">
        <v>37</v>
      </c>
      <c r="O518" s="25" t="s">
        <v>37</v>
      </c>
      <c r="P518" s="25" t="s">
        <v>37</v>
      </c>
      <c r="Q518" s="25" t="s">
        <v>37</v>
      </c>
      <c r="R518" s="25" t="s">
        <v>37</v>
      </c>
      <c r="S518" s="25" t="s">
        <v>37</v>
      </c>
      <c r="T518" s="25" t="s">
        <v>37</v>
      </c>
      <c r="U518" s="25" t="s">
        <v>37</v>
      </c>
      <c r="V518" s="25" t="s">
        <v>37</v>
      </c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  <c r="AI518" s="13"/>
    </row>
    <row r="519" spans="1:35" s="12" customFormat="1" ht="16.5" x14ac:dyDescent="0.3">
      <c r="A519" s="45"/>
      <c r="B519" s="45"/>
      <c r="C519" s="46" t="s">
        <v>39</v>
      </c>
      <c r="D519" s="1"/>
      <c r="E519" s="13"/>
      <c r="F519" s="25" t="s">
        <v>37</v>
      </c>
      <c r="G519" s="25" t="s">
        <v>286</v>
      </c>
      <c r="H519" s="25" t="s">
        <v>286</v>
      </c>
      <c r="I519" s="25" t="s">
        <v>287</v>
      </c>
      <c r="J519" s="25" t="s">
        <v>287</v>
      </c>
      <c r="K519" s="25" t="s">
        <v>288</v>
      </c>
      <c r="L519" s="25" t="s">
        <v>288</v>
      </c>
      <c r="M519" s="25" t="s">
        <v>288</v>
      </c>
      <c r="N519" s="25" t="s">
        <v>289</v>
      </c>
      <c r="O519" s="25" t="s">
        <v>286</v>
      </c>
      <c r="P519" s="25" t="s">
        <v>290</v>
      </c>
      <c r="Q519" s="25" t="s">
        <v>291</v>
      </c>
      <c r="R519" s="25"/>
      <c r="S519" s="25" t="s">
        <v>291</v>
      </c>
      <c r="T519" s="25" t="s">
        <v>291</v>
      </c>
      <c r="U519" s="25" t="s">
        <v>39</v>
      </c>
      <c r="V519" s="25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  <c r="AI519" s="13"/>
    </row>
    <row r="520" spans="1:35" ht="16.5" x14ac:dyDescent="0.3">
      <c r="A520" s="28"/>
      <c r="B520" s="28"/>
      <c r="C520" s="26"/>
      <c r="D520" s="1"/>
      <c r="E520" s="6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 t="s">
        <v>39</v>
      </c>
      <c r="V520" s="23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</row>
    <row r="521" spans="1:35" ht="16.5" x14ac:dyDescent="0.3">
      <c r="A521" s="28"/>
      <c r="B521" s="28"/>
      <c r="C521" s="26"/>
      <c r="D521" s="1"/>
      <c r="E521" s="20" t="s">
        <v>292</v>
      </c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 t="s">
        <v>39</v>
      </c>
      <c r="T521" s="23"/>
      <c r="U521" s="23"/>
      <c r="V521" s="23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</row>
    <row r="522" spans="1:35" ht="16.5" x14ac:dyDescent="0.3">
      <c r="A522" s="28"/>
      <c r="B522" s="28"/>
      <c r="C522" s="26"/>
      <c r="D522" s="1">
        <v>1</v>
      </c>
      <c r="E522" s="6" t="s">
        <v>224</v>
      </c>
      <c r="F522" s="6"/>
      <c r="G522" s="22">
        <v>28117624.55681641</v>
      </c>
      <c r="H522" s="22">
        <v>14054940.521415183</v>
      </c>
      <c r="I522" s="22">
        <f>SUM(G522:H522)</f>
        <v>42172565.078231595</v>
      </c>
      <c r="J522" s="22">
        <f>+I522</f>
        <v>42172565.078231595</v>
      </c>
      <c r="K522" s="22">
        <v>0</v>
      </c>
      <c r="L522" s="22">
        <v>0</v>
      </c>
      <c r="M522" s="22">
        <v>0</v>
      </c>
      <c r="N522" s="22">
        <f>SUM(G545,H545,J545)</f>
        <v>391616.70999260026</v>
      </c>
      <c r="O522" s="22">
        <f>+G522+H522</f>
        <v>42172565.078231595</v>
      </c>
      <c r="P522" s="22">
        <f>+J522</f>
        <v>42172565.078231595</v>
      </c>
      <c r="Q522" s="22">
        <v>24396728.923826776</v>
      </c>
      <c r="R522" s="22">
        <v>0</v>
      </c>
      <c r="S522" s="22">
        <f>Q522</f>
        <v>24396728.923826776</v>
      </c>
      <c r="T522" s="23">
        <f>S522</f>
        <v>24396728.923826776</v>
      </c>
      <c r="U522" s="22">
        <v>0</v>
      </c>
      <c r="V522" s="22">
        <v>0</v>
      </c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</row>
    <row r="523" spans="1:35" ht="16.5" x14ac:dyDescent="0.3">
      <c r="A523" s="28"/>
      <c r="B523" s="28"/>
      <c r="C523" s="26"/>
      <c r="D523" s="1"/>
      <c r="E523" s="21" t="s">
        <v>293</v>
      </c>
      <c r="F523" s="6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3" t="s">
        <v>39</v>
      </c>
      <c r="U523" s="22"/>
      <c r="V523" s="22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</row>
    <row r="524" spans="1:35" ht="16.5" x14ac:dyDescent="0.3">
      <c r="A524" s="28"/>
      <c r="B524" s="28"/>
      <c r="C524" s="26"/>
      <c r="D524" s="1">
        <v>2</v>
      </c>
      <c r="E524" s="27" t="s">
        <v>294</v>
      </c>
      <c r="F524" s="6"/>
      <c r="G524" s="22">
        <v>668081.30000000005</v>
      </c>
      <c r="H524" s="22">
        <v>3422177.2183064385</v>
      </c>
      <c r="I524" s="22">
        <f t="shared" ref="I524:I529" si="173">SUM(G524:H524)</f>
        <v>4090258.5183064388</v>
      </c>
      <c r="J524" s="22">
        <f t="shared" ref="J524:J529" si="174">+I524</f>
        <v>4090258.5183064388</v>
      </c>
      <c r="K524" s="22">
        <v>0</v>
      </c>
      <c r="L524" s="22">
        <v>0</v>
      </c>
      <c r="M524" s="22">
        <v>0</v>
      </c>
      <c r="N524" s="22">
        <f t="shared" ref="N524:N529" si="175">SUM(G547,H547,J547)</f>
        <v>86509.190334964806</v>
      </c>
      <c r="O524" s="22">
        <f t="shared" ref="O524:O529" si="176">+G524+H524</f>
        <v>4090258.5183064388</v>
      </c>
      <c r="P524" s="22">
        <f t="shared" ref="P524:P529" si="177">+J524</f>
        <v>4090258.5183064388</v>
      </c>
      <c r="Q524" s="22">
        <v>2197177.314779853</v>
      </c>
      <c r="R524" s="22">
        <v>0</v>
      </c>
      <c r="S524" s="22">
        <f t="shared" ref="S524:S529" si="178">Q524</f>
        <v>2197177.314779853</v>
      </c>
      <c r="T524" s="23">
        <f t="shared" ref="T524:T529" si="179">S524</f>
        <v>2197177.314779853</v>
      </c>
      <c r="U524" s="22">
        <v>0</v>
      </c>
      <c r="V524" s="22">
        <v>0</v>
      </c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</row>
    <row r="525" spans="1:35" ht="16.5" x14ac:dyDescent="0.3">
      <c r="A525" s="28"/>
      <c r="B525" s="28"/>
      <c r="C525" s="26"/>
      <c r="D525" s="1">
        <v>3</v>
      </c>
      <c r="E525" s="17" t="s">
        <v>295</v>
      </c>
      <c r="F525" s="6"/>
      <c r="G525" s="22">
        <v>0</v>
      </c>
      <c r="H525" s="22">
        <v>16569.990000000002</v>
      </c>
      <c r="I525" s="22">
        <f t="shared" si="173"/>
        <v>16569.990000000002</v>
      </c>
      <c r="J525" s="22">
        <f t="shared" si="174"/>
        <v>16569.990000000002</v>
      </c>
      <c r="K525" s="22">
        <v>0</v>
      </c>
      <c r="L525" s="22">
        <v>0</v>
      </c>
      <c r="M525" s="22">
        <v>0</v>
      </c>
      <c r="N525" s="22">
        <f t="shared" si="175"/>
        <v>3679.4332012740133</v>
      </c>
      <c r="O525" s="22">
        <f t="shared" si="176"/>
        <v>16569.990000000002</v>
      </c>
      <c r="P525" s="22">
        <f t="shared" si="177"/>
        <v>16569.990000000002</v>
      </c>
      <c r="Q525" s="22">
        <v>-4394.1799999999976</v>
      </c>
      <c r="R525" s="22">
        <v>0</v>
      </c>
      <c r="S525" s="22">
        <f t="shared" si="178"/>
        <v>-4394.1799999999976</v>
      </c>
      <c r="T525" s="23">
        <f t="shared" si="179"/>
        <v>-4394.1799999999976</v>
      </c>
      <c r="U525" s="22">
        <v>0</v>
      </c>
      <c r="V525" s="22">
        <v>0</v>
      </c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</row>
    <row r="526" spans="1:35" ht="16.5" x14ac:dyDescent="0.3">
      <c r="A526" s="28"/>
      <c r="B526" s="28"/>
      <c r="C526" s="26"/>
      <c r="D526" s="1">
        <v>4</v>
      </c>
      <c r="E526" s="17" t="s">
        <v>296</v>
      </c>
      <c r="F526" s="6"/>
      <c r="G526" s="22">
        <v>0</v>
      </c>
      <c r="H526" s="22">
        <v>56030.219999999994</v>
      </c>
      <c r="I526" s="22">
        <f t="shared" si="173"/>
        <v>56030.219999999994</v>
      </c>
      <c r="J526" s="22">
        <f t="shared" si="174"/>
        <v>56030.219999999994</v>
      </c>
      <c r="K526" s="22">
        <v>0</v>
      </c>
      <c r="L526" s="22">
        <v>0</v>
      </c>
      <c r="M526" s="22">
        <v>0</v>
      </c>
      <c r="N526" s="22">
        <f t="shared" si="175"/>
        <v>0</v>
      </c>
      <c r="O526" s="22">
        <f t="shared" si="176"/>
        <v>56030.219999999994</v>
      </c>
      <c r="P526" s="22">
        <f t="shared" si="177"/>
        <v>56030.219999999994</v>
      </c>
      <c r="Q526" s="22">
        <v>11326.120000000003</v>
      </c>
      <c r="R526" s="22">
        <v>0</v>
      </c>
      <c r="S526" s="22">
        <f t="shared" si="178"/>
        <v>11326.120000000003</v>
      </c>
      <c r="T526" s="23">
        <f t="shared" si="179"/>
        <v>11326.120000000003</v>
      </c>
      <c r="U526" s="22">
        <v>0</v>
      </c>
      <c r="V526" s="22">
        <v>0</v>
      </c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</row>
    <row r="527" spans="1:35" ht="16.5" x14ac:dyDescent="0.3">
      <c r="A527" s="28"/>
      <c r="B527" s="28"/>
      <c r="C527" s="26"/>
      <c r="D527" s="1">
        <v>5</v>
      </c>
      <c r="E527" s="17" t="s">
        <v>297</v>
      </c>
      <c r="F527" s="6"/>
      <c r="G527" s="22">
        <v>0</v>
      </c>
      <c r="H527" s="22">
        <v>1820569.0999999999</v>
      </c>
      <c r="I527" s="22">
        <f t="shared" si="173"/>
        <v>1820569.0999999999</v>
      </c>
      <c r="J527" s="22">
        <f t="shared" si="174"/>
        <v>1820569.0999999999</v>
      </c>
      <c r="K527" s="22">
        <v>0</v>
      </c>
      <c r="L527" s="22">
        <v>0</v>
      </c>
      <c r="M527" s="22">
        <v>0</v>
      </c>
      <c r="N527" s="22">
        <f t="shared" si="175"/>
        <v>34958.270438329273</v>
      </c>
      <c r="O527" s="22">
        <f t="shared" si="176"/>
        <v>1820569.0999999999</v>
      </c>
      <c r="P527" s="22">
        <f t="shared" si="177"/>
        <v>1820569.0999999999</v>
      </c>
      <c r="Q527" s="22">
        <v>658707.48663066106</v>
      </c>
      <c r="R527" s="22">
        <v>0</v>
      </c>
      <c r="S527" s="22">
        <f t="shared" si="178"/>
        <v>658707.48663066106</v>
      </c>
      <c r="T527" s="23">
        <f t="shared" si="179"/>
        <v>658707.48663066106</v>
      </c>
      <c r="U527" s="22">
        <v>0</v>
      </c>
      <c r="V527" s="22">
        <v>0</v>
      </c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</row>
    <row r="528" spans="1:35" ht="16.5" x14ac:dyDescent="0.3">
      <c r="A528" s="28"/>
      <c r="B528" s="28"/>
      <c r="C528" s="26"/>
      <c r="D528" s="1">
        <v>6</v>
      </c>
      <c r="E528" s="17" t="s">
        <v>298</v>
      </c>
      <c r="F528" s="6"/>
      <c r="G528" s="22">
        <v>4534362.55</v>
      </c>
      <c r="H528" s="22">
        <v>947902.68</v>
      </c>
      <c r="I528" s="22">
        <f t="shared" si="173"/>
        <v>5482265.2299999995</v>
      </c>
      <c r="J528" s="22">
        <f t="shared" si="174"/>
        <v>5482265.2299999995</v>
      </c>
      <c r="K528" s="22">
        <v>0</v>
      </c>
      <c r="L528" s="22">
        <v>0</v>
      </c>
      <c r="M528" s="22">
        <v>0</v>
      </c>
      <c r="N528" s="22">
        <f t="shared" si="175"/>
        <v>8048.6085516992907</v>
      </c>
      <c r="O528" s="22">
        <f t="shared" si="176"/>
        <v>5482265.2299999995</v>
      </c>
      <c r="P528" s="22">
        <f t="shared" si="177"/>
        <v>5482265.2299999995</v>
      </c>
      <c r="Q528" s="22">
        <v>-72.252545190291713</v>
      </c>
      <c r="R528" s="22">
        <v>0</v>
      </c>
      <c r="S528" s="22">
        <f t="shared" si="178"/>
        <v>-72.252545190291713</v>
      </c>
      <c r="T528" s="23">
        <f t="shared" si="179"/>
        <v>-72.252545190291713</v>
      </c>
      <c r="U528" s="22">
        <v>0</v>
      </c>
      <c r="V528" s="22">
        <v>0</v>
      </c>
      <c r="X528" s="6"/>
      <c r="Y528" s="6"/>
      <c r="Z528" s="1"/>
      <c r="AA528" s="6"/>
      <c r="AB528" s="6"/>
      <c r="AC528" s="6"/>
      <c r="AD528" s="6"/>
      <c r="AE528" s="6"/>
      <c r="AF528" s="6"/>
      <c r="AG528" s="6"/>
      <c r="AH528" s="6"/>
      <c r="AI528" s="6"/>
    </row>
    <row r="529" spans="1:35" ht="16.5" x14ac:dyDescent="0.3">
      <c r="A529" s="28"/>
      <c r="B529" s="28"/>
      <c r="C529" s="26"/>
      <c r="D529" s="1">
        <v>7</v>
      </c>
      <c r="E529" s="6" t="s">
        <v>299</v>
      </c>
      <c r="F529" s="23"/>
      <c r="G529" s="22">
        <v>7347719.665</v>
      </c>
      <c r="H529" s="22">
        <v>2357739.5</v>
      </c>
      <c r="I529" s="22">
        <f t="shared" si="173"/>
        <v>9705459.1649999991</v>
      </c>
      <c r="J529" s="22">
        <f t="shared" si="174"/>
        <v>9705459.1649999991</v>
      </c>
      <c r="K529" s="34"/>
      <c r="L529" s="34"/>
      <c r="M529" s="34"/>
      <c r="N529" s="22">
        <f t="shared" si="175"/>
        <v>7722.8554143018246</v>
      </c>
      <c r="O529" s="22">
        <f t="shared" si="176"/>
        <v>9705459.1649999991</v>
      </c>
      <c r="P529" s="22">
        <f t="shared" si="177"/>
        <v>9705459.1649999991</v>
      </c>
      <c r="Q529" s="22">
        <v>0.49999999958890839</v>
      </c>
      <c r="R529" s="34"/>
      <c r="S529" s="22">
        <f t="shared" si="178"/>
        <v>0.49999999958890839</v>
      </c>
      <c r="T529" s="23">
        <f t="shared" si="179"/>
        <v>0.49999999958890839</v>
      </c>
      <c r="U529" s="22">
        <v>0</v>
      </c>
      <c r="V529" s="22">
        <v>0</v>
      </c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</row>
    <row r="530" spans="1:35" ht="16.5" x14ac:dyDescent="0.3">
      <c r="A530" s="28"/>
      <c r="B530" s="28"/>
      <c r="C530" s="29"/>
      <c r="D530" s="1">
        <v>8</v>
      </c>
      <c r="E530" s="20" t="s">
        <v>300</v>
      </c>
      <c r="F530" s="63" t="s">
        <v>39</v>
      </c>
      <c r="G530" s="30">
        <f t="shared" ref="G530:V530" si="180">SUM(G524:G529)</f>
        <v>12550163.515000001</v>
      </c>
      <c r="H530" s="30">
        <f t="shared" si="180"/>
        <v>8620988.7083064392</v>
      </c>
      <c r="I530" s="30">
        <f t="shared" si="180"/>
        <v>21171152.22330644</v>
      </c>
      <c r="J530" s="30">
        <f t="shared" si="180"/>
        <v>21171152.22330644</v>
      </c>
      <c r="K530" s="30">
        <f t="shared" si="180"/>
        <v>0</v>
      </c>
      <c r="L530" s="30">
        <f t="shared" si="180"/>
        <v>0</v>
      </c>
      <c r="M530" s="30">
        <f t="shared" si="180"/>
        <v>0</v>
      </c>
      <c r="N530" s="30">
        <f t="shared" si="180"/>
        <v>140918.35794056923</v>
      </c>
      <c r="O530" s="30">
        <f t="shared" si="180"/>
        <v>21171152.22330644</v>
      </c>
      <c r="P530" s="30">
        <f t="shared" si="180"/>
        <v>21171152.22330644</v>
      </c>
      <c r="Q530" s="30">
        <f t="shared" si="180"/>
        <v>2862744.9888653229</v>
      </c>
      <c r="R530" s="30">
        <f t="shared" si="180"/>
        <v>0</v>
      </c>
      <c r="S530" s="30">
        <f t="shared" si="180"/>
        <v>2862744.9888653229</v>
      </c>
      <c r="T530" s="30">
        <f t="shared" si="180"/>
        <v>2862744.9888653229</v>
      </c>
      <c r="U530" s="30">
        <f t="shared" si="180"/>
        <v>0</v>
      </c>
      <c r="V530" s="30">
        <f t="shared" si="180"/>
        <v>0</v>
      </c>
      <c r="X530" s="20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</row>
    <row r="531" spans="1:35" ht="17.25" thickBot="1" x14ac:dyDescent="0.35">
      <c r="A531" s="28"/>
      <c r="B531" s="28"/>
      <c r="C531" s="29"/>
      <c r="D531" s="1">
        <v>9</v>
      </c>
      <c r="E531" s="20" t="s">
        <v>301</v>
      </c>
      <c r="F531" s="63" t="s">
        <v>39</v>
      </c>
      <c r="G531" s="62">
        <f t="shared" ref="G531:V531" si="181">SUM(G530,G522)</f>
        <v>40667788.071816415</v>
      </c>
      <c r="H531" s="62">
        <f t="shared" si="181"/>
        <v>22675929.229721621</v>
      </c>
      <c r="I531" s="62">
        <f t="shared" si="181"/>
        <v>63343717.301538035</v>
      </c>
      <c r="J531" s="62">
        <f t="shared" si="181"/>
        <v>63343717.301538035</v>
      </c>
      <c r="K531" s="62">
        <f t="shared" si="181"/>
        <v>0</v>
      </c>
      <c r="L531" s="62">
        <f t="shared" si="181"/>
        <v>0</v>
      </c>
      <c r="M531" s="62">
        <f t="shared" si="181"/>
        <v>0</v>
      </c>
      <c r="N531" s="62">
        <f t="shared" si="181"/>
        <v>532535.06793316943</v>
      </c>
      <c r="O531" s="62">
        <f t="shared" si="181"/>
        <v>63343717.301538035</v>
      </c>
      <c r="P531" s="62">
        <f t="shared" si="181"/>
        <v>63343717.301538035</v>
      </c>
      <c r="Q531" s="62">
        <f t="shared" si="181"/>
        <v>27259473.9126921</v>
      </c>
      <c r="R531" s="62">
        <f t="shared" si="181"/>
        <v>0</v>
      </c>
      <c r="S531" s="62">
        <f t="shared" si="181"/>
        <v>27259473.9126921</v>
      </c>
      <c r="T531" s="62">
        <f t="shared" si="181"/>
        <v>27259473.9126921</v>
      </c>
      <c r="U531" s="62">
        <f t="shared" si="181"/>
        <v>0</v>
      </c>
      <c r="V531" s="62">
        <f t="shared" si="181"/>
        <v>0</v>
      </c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</row>
    <row r="532" spans="1:35" ht="17.25" thickTop="1" x14ac:dyDescent="0.3">
      <c r="A532" s="28"/>
      <c r="B532" s="28"/>
      <c r="C532" s="19"/>
      <c r="D532" s="1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</row>
    <row r="533" spans="1:35" ht="16.5" x14ac:dyDescent="0.3">
      <c r="A533" s="28"/>
      <c r="B533" s="28"/>
      <c r="C533" s="19"/>
      <c r="D533" s="1">
        <v>10</v>
      </c>
      <c r="E533" s="20" t="s">
        <v>302</v>
      </c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</row>
    <row r="534" spans="1:35" ht="16.5" x14ac:dyDescent="0.3">
      <c r="A534" s="28"/>
      <c r="B534" s="28"/>
      <c r="C534" s="19"/>
      <c r="D534" s="1">
        <v>11</v>
      </c>
      <c r="E534" s="6" t="s">
        <v>224</v>
      </c>
      <c r="F534" s="6"/>
      <c r="G534" s="93">
        <f t="shared" ref="G534:P534" si="182">IF(G$531&lt;&gt;0,G522/G$531,0)</f>
        <v>0.69139793162988583</v>
      </c>
      <c r="H534" s="93">
        <f t="shared" si="182"/>
        <v>0.61981762154175357</v>
      </c>
      <c r="I534" s="93">
        <f t="shared" si="182"/>
        <v>0.66577344801972349</v>
      </c>
      <c r="J534" s="93">
        <f t="shared" si="182"/>
        <v>0.66577344801972349</v>
      </c>
      <c r="K534" s="93">
        <f t="shared" si="182"/>
        <v>0</v>
      </c>
      <c r="L534" s="93">
        <f t="shared" si="182"/>
        <v>0</v>
      </c>
      <c r="M534" s="93">
        <f t="shared" si="182"/>
        <v>0</v>
      </c>
      <c r="N534" s="93">
        <f t="shared" si="182"/>
        <v>0.73538201251705415</v>
      </c>
      <c r="O534" s="93">
        <f t="shared" si="182"/>
        <v>0.66577344801972349</v>
      </c>
      <c r="P534" s="93">
        <f t="shared" si="182"/>
        <v>0.66577344801972349</v>
      </c>
      <c r="Q534" s="93">
        <f>IF(SUM($Q$531:$Q$531)&lt;&gt;0,SUM($Q522:$Q522)/SUM($Q$531:$Q$531))</f>
        <v>0.8949816493878695</v>
      </c>
      <c r="R534" s="93">
        <f>IF(R$531&lt;&gt;0,R522/R$531,0)</f>
        <v>0</v>
      </c>
      <c r="S534" s="93">
        <f>IF(S$531&lt;&gt;0,S522/S$531,0)</f>
        <v>0.8949816493878695</v>
      </c>
      <c r="T534" s="93">
        <f>IF(T$531&lt;&gt;0,T522/T$531,0)</f>
        <v>0.8949816493878695</v>
      </c>
      <c r="U534" s="93">
        <f>IF(U$531&lt;&gt;0,U522/U$531,0)</f>
        <v>0</v>
      </c>
      <c r="V534" s="93">
        <f>IF(V$531&lt;&gt;0,V522/V$531,0)</f>
        <v>0</v>
      </c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</row>
    <row r="535" spans="1:35" ht="16.5" x14ac:dyDescent="0.3">
      <c r="A535" s="28"/>
      <c r="B535" s="28"/>
      <c r="C535" s="19"/>
      <c r="D535" s="1"/>
      <c r="E535" s="21" t="s">
        <v>293</v>
      </c>
      <c r="F535" s="6"/>
      <c r="G535" s="93"/>
      <c r="H535" s="93"/>
      <c r="I535" s="93"/>
      <c r="J535" s="93"/>
      <c r="K535" s="93"/>
      <c r="L535" s="93"/>
      <c r="M535" s="93"/>
      <c r="N535" s="93"/>
      <c r="O535" s="93"/>
      <c r="P535" s="93"/>
      <c r="Q535" s="93"/>
      <c r="R535" s="93"/>
      <c r="S535" s="93"/>
      <c r="T535" s="93"/>
      <c r="U535" s="93"/>
      <c r="V535" s="93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</row>
    <row r="536" spans="1:35" ht="16.5" x14ac:dyDescent="0.3">
      <c r="A536" s="28"/>
      <c r="B536" s="28"/>
      <c r="C536" s="19"/>
      <c r="D536" s="1">
        <v>12</v>
      </c>
      <c r="E536" s="27" t="s">
        <v>294</v>
      </c>
      <c r="F536" s="6"/>
      <c r="G536" s="93">
        <f t="shared" ref="G536:P541" si="183">IF(G$531&lt;&gt;0,G524/G$531,0)</f>
        <v>1.6427775683797115E-2</v>
      </c>
      <c r="H536" s="93">
        <f t="shared" si="183"/>
        <v>0.15091673569967526</v>
      </c>
      <c r="I536" s="93">
        <f t="shared" si="183"/>
        <v>6.457244210716892E-2</v>
      </c>
      <c r="J536" s="93">
        <f t="shared" si="183"/>
        <v>6.457244210716892E-2</v>
      </c>
      <c r="K536" s="93">
        <f t="shared" si="183"/>
        <v>0</v>
      </c>
      <c r="L536" s="93">
        <f t="shared" si="183"/>
        <v>0</v>
      </c>
      <c r="M536" s="93">
        <f t="shared" si="183"/>
        <v>0</v>
      </c>
      <c r="N536" s="93">
        <f t="shared" si="183"/>
        <v>0.16244787534972494</v>
      </c>
      <c r="O536" s="93">
        <f t="shared" si="183"/>
        <v>6.457244210716892E-2</v>
      </c>
      <c r="P536" s="93">
        <f t="shared" si="183"/>
        <v>6.457244210716892E-2</v>
      </c>
      <c r="Q536" s="93">
        <f t="shared" ref="Q536:Q541" si="184">IF(SUM($Q$531:$Q$531)&lt;&gt;0,SUM($Q524:$Q524)/SUM($Q$531:$Q$531))</f>
        <v>8.0602337441180033E-2</v>
      </c>
      <c r="R536" s="93">
        <f t="shared" ref="R536:V541" si="185">IF(R$531&lt;&gt;0,R524/R$531,0)</f>
        <v>0</v>
      </c>
      <c r="S536" s="93">
        <f t="shared" si="185"/>
        <v>8.0602337441180033E-2</v>
      </c>
      <c r="T536" s="93">
        <f t="shared" si="185"/>
        <v>8.0602337441180033E-2</v>
      </c>
      <c r="U536" s="93">
        <f t="shared" si="185"/>
        <v>0</v>
      </c>
      <c r="V536" s="93">
        <f t="shared" si="185"/>
        <v>0</v>
      </c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</row>
    <row r="537" spans="1:35" ht="16.5" x14ac:dyDescent="0.3">
      <c r="A537" s="28"/>
      <c r="B537" s="28"/>
      <c r="C537" s="19"/>
      <c r="D537" s="1">
        <v>13</v>
      </c>
      <c r="E537" s="17" t="s">
        <v>295</v>
      </c>
      <c r="F537" s="6"/>
      <c r="G537" s="93">
        <f t="shared" si="183"/>
        <v>0</v>
      </c>
      <c r="H537" s="93">
        <f t="shared" si="183"/>
        <v>7.3073036311480067E-4</v>
      </c>
      <c r="I537" s="93">
        <f t="shared" si="183"/>
        <v>2.6158853167901575E-4</v>
      </c>
      <c r="J537" s="93">
        <f t="shared" si="183"/>
        <v>2.6158853167901575E-4</v>
      </c>
      <c r="K537" s="93">
        <f t="shared" si="183"/>
        <v>0</v>
      </c>
      <c r="L537" s="93">
        <f t="shared" si="183"/>
        <v>0</v>
      </c>
      <c r="M537" s="93">
        <f t="shared" si="183"/>
        <v>0</v>
      </c>
      <c r="N537" s="93">
        <f t="shared" si="183"/>
        <v>6.9092786988739011E-3</v>
      </c>
      <c r="O537" s="93">
        <f t="shared" si="183"/>
        <v>2.6158853167901575E-4</v>
      </c>
      <c r="P537" s="93">
        <f t="shared" si="183"/>
        <v>2.6158853167901575E-4</v>
      </c>
      <c r="Q537" s="93">
        <f t="shared" si="184"/>
        <v>-1.6119826868537081E-4</v>
      </c>
      <c r="R537" s="93">
        <f t="shared" si="185"/>
        <v>0</v>
      </c>
      <c r="S537" s="93">
        <f t="shared" si="185"/>
        <v>-1.6119826868537081E-4</v>
      </c>
      <c r="T537" s="93">
        <f t="shared" si="185"/>
        <v>-1.6119826868537081E-4</v>
      </c>
      <c r="U537" s="93">
        <f t="shared" si="185"/>
        <v>0</v>
      </c>
      <c r="V537" s="93">
        <f t="shared" si="185"/>
        <v>0</v>
      </c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</row>
    <row r="538" spans="1:35" ht="16.5" x14ac:dyDescent="0.3">
      <c r="A538" s="28"/>
      <c r="B538" s="28"/>
      <c r="C538" s="19"/>
      <c r="D538" s="1">
        <v>14</v>
      </c>
      <c r="E538" s="17" t="s">
        <v>296</v>
      </c>
      <c r="F538" s="6"/>
      <c r="G538" s="93">
        <f t="shared" si="183"/>
        <v>0</v>
      </c>
      <c r="H538" s="93">
        <f t="shared" si="183"/>
        <v>2.4709117510633475E-3</v>
      </c>
      <c r="I538" s="93">
        <f t="shared" si="183"/>
        <v>8.845426569027634E-4</v>
      </c>
      <c r="J538" s="93">
        <f t="shared" si="183"/>
        <v>8.845426569027634E-4</v>
      </c>
      <c r="K538" s="93">
        <f t="shared" si="183"/>
        <v>0</v>
      </c>
      <c r="L538" s="93">
        <f t="shared" si="183"/>
        <v>0</v>
      </c>
      <c r="M538" s="93">
        <f t="shared" si="183"/>
        <v>0</v>
      </c>
      <c r="N538" s="93">
        <f t="shared" si="183"/>
        <v>0</v>
      </c>
      <c r="O538" s="93">
        <f t="shared" si="183"/>
        <v>8.845426569027634E-4</v>
      </c>
      <c r="P538" s="93">
        <f t="shared" si="183"/>
        <v>8.845426569027634E-4</v>
      </c>
      <c r="Q538" s="93">
        <f t="shared" si="184"/>
        <v>4.1549297819451036E-4</v>
      </c>
      <c r="R538" s="93">
        <f t="shared" si="185"/>
        <v>0</v>
      </c>
      <c r="S538" s="93">
        <f t="shared" si="185"/>
        <v>4.1549297819451036E-4</v>
      </c>
      <c r="T538" s="93">
        <f t="shared" si="185"/>
        <v>4.1549297819451036E-4</v>
      </c>
      <c r="U538" s="93">
        <f t="shared" si="185"/>
        <v>0</v>
      </c>
      <c r="V538" s="93">
        <f t="shared" si="185"/>
        <v>0</v>
      </c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</row>
    <row r="539" spans="1:35" ht="16.5" x14ac:dyDescent="0.3">
      <c r="A539" s="28"/>
      <c r="B539" s="28"/>
      <c r="C539" s="19"/>
      <c r="D539" s="1">
        <v>15</v>
      </c>
      <c r="E539" s="17" t="s">
        <v>303</v>
      </c>
      <c r="F539" s="6"/>
      <c r="G539" s="93">
        <f t="shared" si="183"/>
        <v>0</v>
      </c>
      <c r="H539" s="93">
        <f t="shared" si="183"/>
        <v>8.0286416559007312E-2</v>
      </c>
      <c r="I539" s="93">
        <f t="shared" si="183"/>
        <v>2.8741115576363482E-2</v>
      </c>
      <c r="J539" s="93">
        <f t="shared" si="183"/>
        <v>2.8741115576363482E-2</v>
      </c>
      <c r="K539" s="93">
        <f t="shared" si="183"/>
        <v>0</v>
      </c>
      <c r="L539" s="93">
        <f t="shared" si="183"/>
        <v>0</v>
      </c>
      <c r="M539" s="93">
        <f t="shared" si="183"/>
        <v>0</v>
      </c>
      <c r="N539" s="93">
        <f t="shared" si="183"/>
        <v>6.5645011086324118E-2</v>
      </c>
      <c r="O539" s="93">
        <f t="shared" si="183"/>
        <v>2.8741115576363482E-2</v>
      </c>
      <c r="P539" s="93">
        <f t="shared" si="183"/>
        <v>2.8741115576363482E-2</v>
      </c>
      <c r="Q539" s="93">
        <f t="shared" si="184"/>
        <v>2.4164350667235903E-2</v>
      </c>
      <c r="R539" s="93">
        <f t="shared" si="185"/>
        <v>0</v>
      </c>
      <c r="S539" s="93">
        <f t="shared" si="185"/>
        <v>2.4164350667235903E-2</v>
      </c>
      <c r="T539" s="93">
        <f t="shared" si="185"/>
        <v>2.4164350667235903E-2</v>
      </c>
      <c r="U539" s="93">
        <f t="shared" si="185"/>
        <v>0</v>
      </c>
      <c r="V539" s="93">
        <f t="shared" si="185"/>
        <v>0</v>
      </c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</row>
    <row r="540" spans="1:35" ht="16.5" x14ac:dyDescent="0.3">
      <c r="A540" s="28"/>
      <c r="B540" s="28"/>
      <c r="C540" s="19"/>
      <c r="D540" s="1">
        <v>16</v>
      </c>
      <c r="E540" s="17" t="s">
        <v>298</v>
      </c>
      <c r="F540" s="6"/>
      <c r="G540" s="93">
        <f t="shared" si="183"/>
        <v>0.11149764383527913</v>
      </c>
      <c r="H540" s="93">
        <f t="shared" si="183"/>
        <v>4.1802153746254081E-2</v>
      </c>
      <c r="I540" s="93">
        <f t="shared" si="183"/>
        <v>8.6547892412163277E-2</v>
      </c>
      <c r="J540" s="93">
        <f t="shared" si="183"/>
        <v>8.6547892412163277E-2</v>
      </c>
      <c r="K540" s="93">
        <f t="shared" si="183"/>
        <v>0</v>
      </c>
      <c r="L540" s="93">
        <f t="shared" si="183"/>
        <v>0</v>
      </c>
      <c r="M540" s="93">
        <f t="shared" si="183"/>
        <v>0</v>
      </c>
      <c r="N540" s="93">
        <f t="shared" si="183"/>
        <v>1.5113762522601333E-2</v>
      </c>
      <c r="O540" s="93">
        <f t="shared" si="183"/>
        <v>8.6547892412163277E-2</v>
      </c>
      <c r="P540" s="93">
        <f t="shared" si="183"/>
        <v>8.6547892412163277E-2</v>
      </c>
      <c r="Q540" s="93">
        <f t="shared" si="184"/>
        <v>-2.6505480414517718E-6</v>
      </c>
      <c r="R540" s="93">
        <f t="shared" si="185"/>
        <v>0</v>
      </c>
      <c r="S540" s="93">
        <f t="shared" si="185"/>
        <v>-2.6505480414517718E-6</v>
      </c>
      <c r="T540" s="93">
        <f t="shared" si="185"/>
        <v>-2.6505480414517718E-6</v>
      </c>
      <c r="U540" s="93">
        <f t="shared" si="185"/>
        <v>0</v>
      </c>
      <c r="V540" s="93">
        <f t="shared" si="185"/>
        <v>0</v>
      </c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</row>
    <row r="541" spans="1:35" ht="16.5" x14ac:dyDescent="0.3">
      <c r="A541" s="28"/>
      <c r="B541" s="28"/>
      <c r="C541" s="19"/>
      <c r="D541" s="1">
        <v>17</v>
      </c>
      <c r="E541" s="6" t="s">
        <v>299</v>
      </c>
      <c r="F541" s="6"/>
      <c r="G541" s="93">
        <f>IF(G$531&lt;&gt;0,G529/G$531,0)</f>
        <v>0.18067664885103785</v>
      </c>
      <c r="H541" s="93">
        <f t="shared" si="183"/>
        <v>0.10397543033913167</v>
      </c>
      <c r="I541" s="93">
        <f t="shared" si="183"/>
        <v>0.15321897069599896</v>
      </c>
      <c r="J541" s="93">
        <f t="shared" si="183"/>
        <v>0.15321897069599896</v>
      </c>
      <c r="K541" s="93">
        <f t="shared" si="183"/>
        <v>0</v>
      </c>
      <c r="L541" s="93">
        <f t="shared" si="183"/>
        <v>0</v>
      </c>
      <c r="M541" s="93">
        <f t="shared" si="183"/>
        <v>0</v>
      </c>
      <c r="N541" s="93">
        <f t="shared" si="183"/>
        <v>1.4502059825421685E-2</v>
      </c>
      <c r="O541" s="93">
        <f>IF(O$531&lt;&gt;0,O529/O$531,0)</f>
        <v>0.15321897069599896</v>
      </c>
      <c r="P541" s="93">
        <f>IF(P$531&lt;&gt;0,P529/P$531,0)</f>
        <v>0.15321897069599896</v>
      </c>
      <c r="Q541" s="93">
        <f t="shared" si="184"/>
        <v>1.8342246852977847E-8</v>
      </c>
      <c r="R541" s="93">
        <f t="shared" si="185"/>
        <v>0</v>
      </c>
      <c r="S541" s="93">
        <f t="shared" si="185"/>
        <v>1.8342246852977847E-8</v>
      </c>
      <c r="T541" s="93">
        <f t="shared" si="185"/>
        <v>1.8342246852977847E-8</v>
      </c>
      <c r="U541" s="95"/>
      <c r="V541" s="95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</row>
    <row r="542" spans="1:35" ht="16.5" x14ac:dyDescent="0.3">
      <c r="A542" s="28"/>
      <c r="B542" s="28"/>
      <c r="C542" s="115"/>
      <c r="D542" s="1">
        <v>18</v>
      </c>
      <c r="E542" s="20" t="s">
        <v>300</v>
      </c>
      <c r="F542" s="20"/>
      <c r="G542" s="99">
        <f t="shared" ref="G542:V542" si="186">SUM(G536:G541)</f>
        <v>0.30860206837011406</v>
      </c>
      <c r="H542" s="99">
        <f t="shared" si="186"/>
        <v>0.38018237845824643</v>
      </c>
      <c r="I542" s="99">
        <f t="shared" si="186"/>
        <v>0.3342265519802764</v>
      </c>
      <c r="J542" s="99">
        <f t="shared" si="186"/>
        <v>0.3342265519802764</v>
      </c>
      <c r="K542" s="99">
        <f t="shared" si="186"/>
        <v>0</v>
      </c>
      <c r="L542" s="99">
        <f t="shared" si="186"/>
        <v>0</v>
      </c>
      <c r="M542" s="99">
        <f t="shared" si="186"/>
        <v>0</v>
      </c>
      <c r="N542" s="99">
        <f t="shared" si="186"/>
        <v>0.26461798748294596</v>
      </c>
      <c r="O542" s="99">
        <f t="shared" si="186"/>
        <v>0.3342265519802764</v>
      </c>
      <c r="P542" s="99">
        <f t="shared" si="186"/>
        <v>0.3342265519802764</v>
      </c>
      <c r="Q542" s="99">
        <f t="shared" si="186"/>
        <v>0.10501835061213048</v>
      </c>
      <c r="R542" s="99">
        <f t="shared" si="186"/>
        <v>0</v>
      </c>
      <c r="S542" s="99">
        <f t="shared" si="186"/>
        <v>0.10501835061213048</v>
      </c>
      <c r="T542" s="99">
        <f t="shared" si="186"/>
        <v>0.10501835061213048</v>
      </c>
      <c r="U542" s="99">
        <f t="shared" si="186"/>
        <v>0</v>
      </c>
      <c r="V542" s="99">
        <f t="shared" si="186"/>
        <v>0</v>
      </c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</row>
    <row r="543" spans="1:35" ht="17.25" thickBot="1" x14ac:dyDescent="0.35">
      <c r="A543" s="28"/>
      <c r="B543" s="28"/>
      <c r="C543" s="115"/>
      <c r="D543" s="1">
        <v>19</v>
      </c>
      <c r="E543" s="20" t="s">
        <v>301</v>
      </c>
      <c r="F543" s="20"/>
      <c r="G543" s="105">
        <f t="shared" ref="G543:V543" si="187">SUM(G542,G534)</f>
        <v>0.99999999999999989</v>
      </c>
      <c r="H543" s="105">
        <f t="shared" si="187"/>
        <v>1</v>
      </c>
      <c r="I543" s="105">
        <f t="shared" si="187"/>
        <v>0.99999999999999989</v>
      </c>
      <c r="J543" s="105">
        <f t="shared" si="187"/>
        <v>0.99999999999999989</v>
      </c>
      <c r="K543" s="105">
        <f t="shared" si="187"/>
        <v>0</v>
      </c>
      <c r="L543" s="105">
        <f t="shared" si="187"/>
        <v>0</v>
      </c>
      <c r="M543" s="105">
        <f t="shared" si="187"/>
        <v>0</v>
      </c>
      <c r="N543" s="105">
        <f t="shared" si="187"/>
        <v>1</v>
      </c>
      <c r="O543" s="105">
        <f t="shared" si="187"/>
        <v>0.99999999999999989</v>
      </c>
      <c r="P543" s="105">
        <f t="shared" si="187"/>
        <v>0.99999999999999989</v>
      </c>
      <c r="Q543" s="105">
        <f t="shared" si="187"/>
        <v>1</v>
      </c>
      <c r="R543" s="105">
        <f t="shared" si="187"/>
        <v>0</v>
      </c>
      <c r="S543" s="105">
        <f t="shared" si="187"/>
        <v>1</v>
      </c>
      <c r="T543" s="105">
        <f t="shared" si="187"/>
        <v>1</v>
      </c>
      <c r="U543" s="105">
        <f t="shared" si="187"/>
        <v>0</v>
      </c>
      <c r="V543" s="105">
        <f t="shared" si="187"/>
        <v>0</v>
      </c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</row>
    <row r="544" spans="1:35" ht="17.25" thickTop="1" x14ac:dyDescent="0.3">
      <c r="A544" s="28"/>
      <c r="B544" s="28"/>
      <c r="C544" s="19"/>
      <c r="D544" s="1"/>
      <c r="E544" s="20" t="s">
        <v>304</v>
      </c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</row>
    <row r="545" spans="1:35" ht="16.5" x14ac:dyDescent="0.3">
      <c r="A545" s="28"/>
      <c r="B545" s="28"/>
      <c r="C545" s="19"/>
      <c r="D545" s="1">
        <v>20</v>
      </c>
      <c r="E545" s="6" t="s">
        <v>224</v>
      </c>
      <c r="F545" s="22">
        <f>SUM(U545:V545)</f>
        <v>2743343.3392869532</v>
      </c>
      <c r="G545" s="22">
        <f>IF(IndexPlant=1,H$554*H534,0)</f>
        <v>0</v>
      </c>
      <c r="H545" s="22">
        <v>227682.5</v>
      </c>
      <c r="I545" s="22">
        <f>IF(IndexPlant=1,I$554*I534,0)</f>
        <v>0</v>
      </c>
      <c r="J545" s="22">
        <v>163934.20999260026</v>
      </c>
      <c r="K545" s="22">
        <v>536014.87751942116</v>
      </c>
      <c r="L545" s="22">
        <v>304820.96675024263</v>
      </c>
      <c r="M545" s="22">
        <v>0</v>
      </c>
      <c r="N545" s="22">
        <f>N$554*N534</f>
        <v>93709.373906071065</v>
      </c>
      <c r="O545" s="22">
        <f>O$554*O534</f>
        <v>-78.997937736563813</v>
      </c>
      <c r="P545" s="22">
        <f>P$554*P534</f>
        <v>-1159.6016343774982</v>
      </c>
      <c r="Q545" s="22">
        <f>Q$554*Q534</f>
        <v>0</v>
      </c>
      <c r="R545" s="22">
        <f>SUM(G545:Q545)</f>
        <v>1324923.3285962211</v>
      </c>
      <c r="S545" s="22">
        <f>S$554*S534</f>
        <v>872484.65453210392</v>
      </c>
      <c r="T545" s="22">
        <f>T$554*T534</f>
        <v>542041.96145349974</v>
      </c>
      <c r="U545" s="22">
        <f>SUM(R545:T545)</f>
        <v>2739449.9445818248</v>
      </c>
      <c r="V545" s="23">
        <f>+V471</f>
        <v>3893.3947051285218</v>
      </c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</row>
    <row r="546" spans="1:35" ht="16.5" x14ac:dyDescent="0.3">
      <c r="A546" s="28"/>
      <c r="B546" s="28"/>
      <c r="C546" s="19"/>
      <c r="D546" s="1"/>
      <c r="E546" s="21" t="s">
        <v>293</v>
      </c>
      <c r="F546" s="22"/>
      <c r="G546" s="22">
        <f>IF(IndexPlant=1,H$554*H535,0)</f>
        <v>0</v>
      </c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V546" s="23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</row>
    <row r="547" spans="1:35" ht="16.5" x14ac:dyDescent="0.3">
      <c r="A547" s="28"/>
      <c r="B547" s="28"/>
      <c r="C547" s="19"/>
      <c r="D547" s="1">
        <f t="shared" ref="D547:D554" si="188">MAX(D544:D546)+NoOne</f>
        <v>21</v>
      </c>
      <c r="E547" s="27" t="s">
        <v>294</v>
      </c>
      <c r="F547" s="22">
        <f t="shared" ref="F547:F554" si="189">SUM(U547:V547)</f>
        <v>285041.38066211808</v>
      </c>
      <c r="G547" s="22">
        <f>IF(IndexPlant=1,G$554*G536,0)</f>
        <v>0</v>
      </c>
      <c r="H547" s="22">
        <v>50295.68</v>
      </c>
      <c r="I547" s="22">
        <f>IF(IndexPlant=1,I$554*I536,0)</f>
        <v>0</v>
      </c>
      <c r="J547" s="22">
        <v>36213.510334964805</v>
      </c>
      <c r="K547" s="22">
        <v>7046.63</v>
      </c>
      <c r="L547" s="22">
        <v>43020.723639705262</v>
      </c>
      <c r="M547" s="22">
        <v>0</v>
      </c>
      <c r="N547" s="22">
        <f t="shared" ref="N547:Q552" si="190">N$554*N536</f>
        <v>20700.654125723759</v>
      </c>
      <c r="O547" s="22">
        <f t="shared" si="190"/>
        <v>-7.6619002699081546</v>
      </c>
      <c r="P547" s="22">
        <f t="shared" si="190"/>
        <v>-112.46815208076788</v>
      </c>
      <c r="Q547" s="22">
        <f t="shared" si="190"/>
        <v>0</v>
      </c>
      <c r="R547" s="22">
        <f t="shared" ref="R547:R552" si="191">SUM(G547:Q547)</f>
        <v>157157.06804804312</v>
      </c>
      <c r="S547" s="22">
        <f t="shared" ref="S547:T552" si="192">S$554*S536</f>
        <v>78576.250792345236</v>
      </c>
      <c r="T547" s="22">
        <f t="shared" si="192"/>
        <v>48816.47474474604</v>
      </c>
      <c r="U547" s="22">
        <f t="shared" ref="U547:U552" si="193">SUM(R547:T547)</f>
        <v>284549.79358513438</v>
      </c>
      <c r="V547" s="23">
        <f t="shared" ref="V547:V552" si="194">+U547/$U$553*$V$553</f>
        <v>491.58707698369398</v>
      </c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</row>
    <row r="548" spans="1:35" ht="16.5" x14ac:dyDescent="0.3">
      <c r="A548" s="28"/>
      <c r="B548" s="28"/>
      <c r="C548" s="19"/>
      <c r="D548" s="1">
        <f t="shared" si="188"/>
        <v>22</v>
      </c>
      <c r="E548" s="17" t="s">
        <v>295</v>
      </c>
      <c r="F548" s="22">
        <f>SUM(U548:V548)</f>
        <v>4559.7210285912379</v>
      </c>
      <c r="G548" s="22">
        <f>G$554*G537</f>
        <v>0</v>
      </c>
      <c r="H548" s="22">
        <v>2139.19</v>
      </c>
      <c r="I548" s="22">
        <f t="shared" ref="H548:I549" si="195">IF(IndexPlant=1,I$554*I537,0)</f>
        <v>0</v>
      </c>
      <c r="J548" s="22">
        <v>1540.2432012740132</v>
      </c>
      <c r="K548" s="22">
        <v>0</v>
      </c>
      <c r="L548" s="22">
        <v>247.24</v>
      </c>
      <c r="M548" s="22">
        <v>0</v>
      </c>
      <c r="N548" s="22">
        <f t="shared" si="190"/>
        <v>880.44604028033837</v>
      </c>
      <c r="O548" s="22">
        <f t="shared" si="190"/>
        <v>-3.103901875276624E-2</v>
      </c>
      <c r="P548" s="22">
        <f t="shared" si="190"/>
        <v>-0.45561818328989628</v>
      </c>
      <c r="Q548" s="22">
        <f t="shared" si="190"/>
        <v>0</v>
      </c>
      <c r="R548" s="22">
        <f t="shared" si="191"/>
        <v>4806.63258435231</v>
      </c>
      <c r="S548" s="22">
        <f t="shared" si="192"/>
        <v>-157.14625641913779</v>
      </c>
      <c r="T548" s="22">
        <f t="shared" si="192"/>
        <v>-97.629069602587265</v>
      </c>
      <c r="U548" s="22">
        <f t="shared" si="193"/>
        <v>4551.857258330585</v>
      </c>
      <c r="V548" s="23">
        <f t="shared" si="194"/>
        <v>7.8637702606530482</v>
      </c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</row>
    <row r="549" spans="1:35" ht="16.5" x14ac:dyDescent="0.3">
      <c r="A549" s="28"/>
      <c r="B549" s="28"/>
      <c r="C549" s="19"/>
      <c r="D549" s="1">
        <f t="shared" si="188"/>
        <v>23</v>
      </c>
      <c r="E549" s="17" t="s">
        <v>296</v>
      </c>
      <c r="F549" s="22">
        <f t="shared" si="189"/>
        <v>1262.0213281154356</v>
      </c>
      <c r="G549" s="22">
        <f t="shared" ref="G549:G552" si="196">G$554*G538</f>
        <v>0</v>
      </c>
      <c r="H549" s="22">
        <f t="shared" si="195"/>
        <v>0</v>
      </c>
      <c r="I549" s="22">
        <f t="shared" si="195"/>
        <v>0</v>
      </c>
      <c r="J549" s="22"/>
      <c r="K549" s="22">
        <v>0</v>
      </c>
      <c r="L549" s="22">
        <v>604.80000000000007</v>
      </c>
      <c r="M549" s="22">
        <v>0</v>
      </c>
      <c r="N549" s="22">
        <f t="shared" si="190"/>
        <v>0</v>
      </c>
      <c r="O549" s="22">
        <f t="shared" si="190"/>
        <v>-0.10495619184451034</v>
      </c>
      <c r="P549" s="22">
        <f t="shared" si="190"/>
        <v>-1.540639858306083</v>
      </c>
      <c r="Q549" s="22">
        <f t="shared" si="190"/>
        <v>0</v>
      </c>
      <c r="R549" s="22">
        <f t="shared" si="191"/>
        <v>603.15440394984944</v>
      </c>
      <c r="S549" s="22">
        <f t="shared" si="192"/>
        <v>405.04880495426363</v>
      </c>
      <c r="T549" s="22">
        <f t="shared" si="192"/>
        <v>251.64161636693458</v>
      </c>
      <c r="U549" s="22">
        <f t="shared" si="193"/>
        <v>1259.8448252710477</v>
      </c>
      <c r="V549" s="23">
        <f t="shared" si="194"/>
        <v>2.1765028443878727</v>
      </c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</row>
    <row r="550" spans="1:35" ht="16.5" x14ac:dyDescent="0.3">
      <c r="A550" s="28"/>
      <c r="B550" s="28"/>
      <c r="C550" s="19"/>
      <c r="D550" s="1">
        <f t="shared" si="188"/>
        <v>24</v>
      </c>
      <c r="E550" s="17" t="s">
        <v>303</v>
      </c>
      <c r="F550" s="22">
        <f t="shared" si="189"/>
        <v>103151.61184453536</v>
      </c>
      <c r="G550" s="22">
        <f t="shared" si="196"/>
        <v>0</v>
      </c>
      <c r="H550" s="22">
        <v>20324.43</v>
      </c>
      <c r="I550" s="22">
        <f t="shared" ref="I550:I552" si="197">IF(IndexPlant=1,I$554*I539,0)</f>
        <v>0</v>
      </c>
      <c r="J550" s="22">
        <v>14633.840438329271</v>
      </c>
      <c r="K550" s="22">
        <v>0</v>
      </c>
      <c r="L550" s="22">
        <v>21511.826738677642</v>
      </c>
      <c r="M550" s="22">
        <v>0</v>
      </c>
      <c r="N550" s="22">
        <f t="shared" si="190"/>
        <v>8365.1119883951033</v>
      </c>
      <c r="O550" s="22">
        <f t="shared" si="190"/>
        <v>-3.410302506857684</v>
      </c>
      <c r="P550" s="22">
        <f t="shared" si="190"/>
        <v>-50.059437929396545</v>
      </c>
      <c r="Q550" s="22">
        <f t="shared" si="190"/>
        <v>0</v>
      </c>
      <c r="R550" s="22">
        <f t="shared" si="191"/>
        <v>64781.739424965766</v>
      </c>
      <c r="S550" s="22">
        <f t="shared" si="192"/>
        <v>23556.935673838507</v>
      </c>
      <c r="T550" s="22">
        <f t="shared" si="192"/>
        <v>14635.039770790037</v>
      </c>
      <c r="U550" s="22">
        <f t="shared" si="193"/>
        <v>102973.71486959432</v>
      </c>
      <c r="V550" s="23">
        <f t="shared" si="194"/>
        <v>177.89697494105215</v>
      </c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</row>
    <row r="551" spans="1:35" ht="16.5" x14ac:dyDescent="0.3">
      <c r="A551" s="28"/>
      <c r="B551" s="28"/>
      <c r="C551" s="19"/>
      <c r="D551" s="1">
        <f t="shared" si="188"/>
        <v>25</v>
      </c>
      <c r="E551" s="17" t="s">
        <v>298</v>
      </c>
      <c r="F551" s="22">
        <f t="shared" si="189"/>
        <v>9949.8784590148789</v>
      </c>
      <c r="G551" s="22">
        <f t="shared" si="196"/>
        <v>0</v>
      </c>
      <c r="H551" s="22">
        <v>4679.3900000000003</v>
      </c>
      <c r="I551" s="22">
        <f t="shared" si="197"/>
        <v>0</v>
      </c>
      <c r="J551" s="22">
        <v>3369.2185516992904</v>
      </c>
      <c r="K551" s="22">
        <v>0</v>
      </c>
      <c r="L551" s="22">
        <v>123.37295846318602</v>
      </c>
      <c r="M551" s="22">
        <v>0</v>
      </c>
      <c r="N551" s="22">
        <f t="shared" si="190"/>
        <v>1925.939442699065</v>
      </c>
      <c r="O551" s="22">
        <f t="shared" si="190"/>
        <v>-10.269416775846473</v>
      </c>
      <c r="P551" s="22">
        <f t="shared" si="190"/>
        <v>-150.74358671344794</v>
      </c>
      <c r="Q551" s="22">
        <f t="shared" si="190"/>
        <v>0</v>
      </c>
      <c r="R551" s="22">
        <f t="shared" si="191"/>
        <v>9936.9079493722475</v>
      </c>
      <c r="S551" s="22">
        <f t="shared" si="192"/>
        <v>-2.5839216858228222</v>
      </c>
      <c r="T551" s="22">
        <f t="shared" si="192"/>
        <v>-1.6052935390327832</v>
      </c>
      <c r="U551" s="22">
        <f t="shared" si="193"/>
        <v>9932.7187341473928</v>
      </c>
      <c r="V551" s="23">
        <f t="shared" si="194"/>
        <v>17.15972486748549</v>
      </c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</row>
    <row r="552" spans="1:35" ht="16.5" x14ac:dyDescent="0.3">
      <c r="A552" s="28"/>
      <c r="B552" s="28"/>
      <c r="C552" s="19"/>
      <c r="D552" s="1">
        <f t="shared" si="188"/>
        <v>26</v>
      </c>
      <c r="E552" s="6" t="s">
        <v>299</v>
      </c>
      <c r="F552" s="22">
        <f>SUM(U552:V552)</f>
        <v>9301.8696849777298</v>
      </c>
      <c r="G552" s="22">
        <f t="shared" si="196"/>
        <v>0</v>
      </c>
      <c r="H552" s="22">
        <v>4490</v>
      </c>
      <c r="I552" s="22">
        <f t="shared" si="197"/>
        <v>0</v>
      </c>
      <c r="J552" s="22">
        <v>3232.8554143018241</v>
      </c>
      <c r="K552" s="22">
        <v>-1.8189894035458565E-11</v>
      </c>
      <c r="L552" s="22">
        <v>0</v>
      </c>
      <c r="M552" s="34"/>
      <c r="N552" s="22">
        <f t="shared" si="190"/>
        <v>1847.9904640816007</v>
      </c>
      <c r="O552" s="22">
        <f t="shared" si="190"/>
        <v>-18.180332578754843</v>
      </c>
      <c r="P552" s="22">
        <f t="shared" si="190"/>
        <v>-266.86700913830202</v>
      </c>
      <c r="Q552" s="22">
        <f t="shared" si="190"/>
        <v>0</v>
      </c>
      <c r="R552" s="22">
        <f t="shared" si="191"/>
        <v>9285.7985366663488</v>
      </c>
      <c r="S552" s="22">
        <f t="shared" si="192"/>
        <v>1.7881181049699244E-2</v>
      </c>
      <c r="T552" s="22">
        <f t="shared" si="192"/>
        <v>1.1108906499314813E-2</v>
      </c>
      <c r="U552" s="22">
        <f t="shared" si="193"/>
        <v>9285.8275267538975</v>
      </c>
      <c r="V552" s="23">
        <f t="shared" si="194"/>
        <v>16.04215822383274</v>
      </c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</row>
    <row r="553" spans="1:35" ht="16.5" x14ac:dyDescent="0.3">
      <c r="A553" s="28"/>
      <c r="B553" s="28"/>
      <c r="C553" s="115"/>
      <c r="D553" s="1">
        <f t="shared" si="188"/>
        <v>27</v>
      </c>
      <c r="E553" s="20" t="s">
        <v>300</v>
      </c>
      <c r="F553" s="30">
        <f t="shared" si="189"/>
        <v>413266.48300735268</v>
      </c>
      <c r="G553" s="30">
        <f t="shared" ref="G553:U553" si="198">SUM(G547:G552)</f>
        <v>0</v>
      </c>
      <c r="H553" s="30">
        <f t="shared" si="198"/>
        <v>81928.69</v>
      </c>
      <c r="I553" s="30">
        <f t="shared" si="198"/>
        <v>0</v>
      </c>
      <c r="J553" s="30">
        <f t="shared" si="198"/>
        <v>58989.667940569205</v>
      </c>
      <c r="K553" s="30">
        <f t="shared" si="198"/>
        <v>7046.6299999999819</v>
      </c>
      <c r="L553" s="30">
        <f t="shared" si="198"/>
        <v>65507.963336846093</v>
      </c>
      <c r="M553" s="30">
        <f t="shared" si="198"/>
        <v>0</v>
      </c>
      <c r="N553" s="30">
        <f t="shared" si="198"/>
        <v>33720.142061179868</v>
      </c>
      <c r="O553" s="30">
        <f t="shared" si="198"/>
        <v>-39.65794734196443</v>
      </c>
      <c r="P553" s="30">
        <f t="shared" si="198"/>
        <v>-582.13444390351037</v>
      </c>
      <c r="Q553" s="30">
        <f t="shared" si="198"/>
        <v>0</v>
      </c>
      <c r="R553" s="30">
        <f t="shared" si="198"/>
        <v>246571.30094734966</v>
      </c>
      <c r="S553" s="30">
        <f t="shared" si="198"/>
        <v>102378.52297421409</v>
      </c>
      <c r="T553" s="30">
        <f t="shared" si="198"/>
        <v>63603.932877667881</v>
      </c>
      <c r="U553" s="30">
        <f t="shared" si="198"/>
        <v>412553.75679923157</v>
      </c>
      <c r="V553" s="30">
        <f>+V472</f>
        <v>712.72620812110517</v>
      </c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</row>
    <row r="554" spans="1:35" ht="17.25" thickBot="1" x14ac:dyDescent="0.35">
      <c r="A554" s="28"/>
      <c r="B554" s="28"/>
      <c r="C554" s="115"/>
      <c r="D554" s="1">
        <f t="shared" si="188"/>
        <v>28</v>
      </c>
      <c r="E554" s="20" t="s">
        <v>301</v>
      </c>
      <c r="F554" s="62">
        <f t="shared" si="189"/>
        <v>3156609.822294306</v>
      </c>
      <c r="G554" s="62">
        <f>V240</f>
        <v>0</v>
      </c>
      <c r="H554" s="62">
        <f>V241</f>
        <v>309611.19</v>
      </c>
      <c r="I554" s="62">
        <f>V269</f>
        <v>0</v>
      </c>
      <c r="J554" s="62">
        <f>+V242</f>
        <v>222923.87793316945</v>
      </c>
      <c r="K554" s="62">
        <f>SUM(K545,K553)</f>
        <v>543061.50751942117</v>
      </c>
      <c r="L554" s="62">
        <f>SUM(L545,L553)</f>
        <v>370328.93008708872</v>
      </c>
      <c r="M554" s="62">
        <f>SUM(M545,M553)</f>
        <v>0</v>
      </c>
      <c r="N554" s="62">
        <f>V176-SUM(K554:M554)</f>
        <v>127429.51596725092</v>
      </c>
      <c r="O554" s="62">
        <f>V304</f>
        <v>-118.65588507852826</v>
      </c>
      <c r="P554" s="62">
        <f>SUM(V302,V305,V306)</f>
        <v>-1741.7360782810088</v>
      </c>
      <c r="Q554" s="62">
        <f>V316</f>
        <v>0</v>
      </c>
      <c r="R554" s="62">
        <f>SUM(R545,R553)</f>
        <v>1571494.6295435708</v>
      </c>
      <c r="S554" s="62">
        <f>V319</f>
        <v>974863.17750631797</v>
      </c>
      <c r="T554" s="62">
        <f>V320</f>
        <v>605645.89433116768</v>
      </c>
      <c r="U554" s="62">
        <f>SUM(U545,U553)</f>
        <v>3152003.7013810566</v>
      </c>
      <c r="V554" s="62">
        <f>SUM(V545,V553)</f>
        <v>4606.1209132496269</v>
      </c>
      <c r="X554" s="6"/>
      <c r="Y554" s="6"/>
      <c r="Z554" s="1"/>
      <c r="AA554" s="6"/>
      <c r="AB554" s="6"/>
      <c r="AC554" s="6"/>
      <c r="AD554" s="6"/>
      <c r="AE554" s="6"/>
      <c r="AF554" s="6"/>
      <c r="AG554" s="6"/>
      <c r="AH554" s="6"/>
      <c r="AI554" s="6"/>
    </row>
    <row r="555" spans="1:35" ht="17.25" thickTop="1" x14ac:dyDescent="0.3">
      <c r="A555" s="28"/>
      <c r="B555" s="28"/>
      <c r="C555" s="19"/>
      <c r="D555" s="6"/>
      <c r="E555" s="6"/>
      <c r="F555" s="6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</row>
    <row r="556" spans="1:35" ht="16.5" x14ac:dyDescent="0.3">
      <c r="A556" s="19"/>
      <c r="B556" s="19"/>
      <c r="C556" s="19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</row>
    <row r="557" spans="1:35" ht="16.5" x14ac:dyDescent="0.3">
      <c r="A557" s="19"/>
      <c r="B557" s="19"/>
      <c r="C557" s="19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</row>
    <row r="558" spans="1:35" ht="13.5" x14ac:dyDescent="0.25">
      <c r="A558" s="19"/>
      <c r="B558" s="19"/>
      <c r="C558" s="19"/>
    </row>
    <row r="559" spans="1:35" ht="13.5" x14ac:dyDescent="0.25">
      <c r="A559" s="19"/>
      <c r="B559" s="19"/>
      <c r="C559" s="19"/>
    </row>
    <row r="560" spans="1:35" ht="17.25" thickBot="1" x14ac:dyDescent="0.35">
      <c r="A560" s="28"/>
      <c r="B560" s="28"/>
      <c r="C560" s="115" t="s">
        <v>305</v>
      </c>
      <c r="D560" s="6"/>
      <c r="E560" s="6"/>
      <c r="F560" s="6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6"/>
    </row>
    <row r="561" spans="1:24" ht="16.5" x14ac:dyDescent="0.3">
      <c r="A561" s="19" t="s">
        <v>306</v>
      </c>
      <c r="B561" s="19"/>
      <c r="C561" s="116">
        <v>1</v>
      </c>
      <c r="D561" s="117">
        <f t="shared" ref="D561:I561" si="199">MAX(C561)+NoOne</f>
        <v>2</v>
      </c>
      <c r="E561" s="117">
        <f t="shared" si="199"/>
        <v>3</v>
      </c>
      <c r="F561" s="117">
        <f t="shared" si="199"/>
        <v>4</v>
      </c>
      <c r="G561" s="117">
        <f t="shared" si="199"/>
        <v>5</v>
      </c>
      <c r="H561" s="117">
        <f t="shared" si="199"/>
        <v>6</v>
      </c>
      <c r="I561" s="117">
        <f t="shared" si="199"/>
        <v>7</v>
      </c>
      <c r="J561" s="117">
        <f t="shared" ref="J561:V561" si="200">MAX(I561)+NoOne</f>
        <v>8</v>
      </c>
      <c r="K561" s="117">
        <f t="shared" si="200"/>
        <v>9</v>
      </c>
      <c r="L561" s="117">
        <f t="shared" si="200"/>
        <v>10</v>
      </c>
      <c r="M561" s="117">
        <f t="shared" si="200"/>
        <v>11</v>
      </c>
      <c r="N561" s="117">
        <f t="shared" si="200"/>
        <v>12</v>
      </c>
      <c r="O561" s="117">
        <f t="shared" si="200"/>
        <v>13</v>
      </c>
      <c r="P561" s="117">
        <f t="shared" si="200"/>
        <v>14</v>
      </c>
      <c r="Q561" s="117">
        <f t="shared" si="200"/>
        <v>15</v>
      </c>
      <c r="R561" s="117">
        <f t="shared" si="200"/>
        <v>16</v>
      </c>
      <c r="S561" s="117">
        <f t="shared" si="200"/>
        <v>17</v>
      </c>
      <c r="T561" s="117">
        <f t="shared" si="200"/>
        <v>18</v>
      </c>
      <c r="U561" s="117">
        <f t="shared" si="200"/>
        <v>19</v>
      </c>
      <c r="V561" s="117">
        <f t="shared" si="200"/>
        <v>20</v>
      </c>
      <c r="X561" s="6"/>
    </row>
    <row r="562" spans="1:24" ht="16.5" x14ac:dyDescent="0.3">
      <c r="A562" s="19"/>
      <c r="B562" s="19"/>
      <c r="C562" s="118"/>
      <c r="D562" s="6"/>
      <c r="E562" s="20" t="s">
        <v>307</v>
      </c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119"/>
      <c r="X562" s="6"/>
    </row>
    <row r="563" spans="1:24" ht="16.5" x14ac:dyDescent="0.3">
      <c r="A563" s="28">
        <f>(SUM(G563:AF563)-F563)*1000</f>
        <v>0</v>
      </c>
      <c r="B563" s="28"/>
      <c r="C563" s="118" t="s">
        <v>308</v>
      </c>
      <c r="D563" s="6"/>
      <c r="E563" s="6" t="s">
        <v>309</v>
      </c>
      <c r="F563" s="120">
        <f>SUM(G563:V563)</f>
        <v>1</v>
      </c>
      <c r="G563" s="121">
        <f t="shared" ref="G563:V563" si="201">IF(SUM($F$250,$F$252)&lt;&gt;0,(SUM(G250,G252)/SUM($F$250,$F$252)),0)</f>
        <v>0.46908682580862349</v>
      </c>
      <c r="H563" s="121">
        <f t="shared" si="201"/>
        <v>0.16573092992103133</v>
      </c>
      <c r="I563" s="121">
        <f t="shared" si="201"/>
        <v>0.20396791018941923</v>
      </c>
      <c r="J563" s="121">
        <f t="shared" si="201"/>
        <v>2.8339813514556212E-2</v>
      </c>
      <c r="K563" s="121">
        <f t="shared" si="201"/>
        <v>1.9064287938169385E-2</v>
      </c>
      <c r="L563" s="121">
        <f t="shared" si="201"/>
        <v>3.595505787667231E-2</v>
      </c>
      <c r="M563" s="121">
        <f t="shared" si="201"/>
        <v>9.8091453342295486E-3</v>
      </c>
      <c r="N563" s="121">
        <f t="shared" si="201"/>
        <v>2.9982321493534411E-3</v>
      </c>
      <c r="O563" s="121">
        <f t="shared" si="201"/>
        <v>5.3071200649220185E-3</v>
      </c>
      <c r="P563" s="121">
        <f t="shared" si="201"/>
        <v>5.1946536373741158E-3</v>
      </c>
      <c r="Q563" s="121">
        <f t="shared" si="201"/>
        <v>5.8950747262517785E-3</v>
      </c>
      <c r="R563" s="121">
        <f t="shared" si="201"/>
        <v>1.7311812242002357E-3</v>
      </c>
      <c r="S563" s="121">
        <f t="shared" si="201"/>
        <v>5.3030250792462678E-3</v>
      </c>
      <c r="T563" s="121">
        <f t="shared" si="201"/>
        <v>1.4771710747037267E-3</v>
      </c>
      <c r="U563" s="121">
        <f t="shared" si="201"/>
        <v>3.2283923586848576E-2</v>
      </c>
      <c r="V563" s="122">
        <f t="shared" si="201"/>
        <v>7.8556478743983908E-3</v>
      </c>
      <c r="X563" s="6"/>
    </row>
    <row r="564" spans="1:24" ht="16.5" x14ac:dyDescent="0.3">
      <c r="A564" s="28">
        <f>(SUM(G564:AF564)-1)*1000</f>
        <v>0</v>
      </c>
      <c r="B564" s="28"/>
      <c r="C564" s="118" t="s">
        <v>310</v>
      </c>
      <c r="E564" s="6" t="s">
        <v>311</v>
      </c>
      <c r="F564" s="120">
        <f>SUM(G564:V564)</f>
        <v>1</v>
      </c>
      <c r="G564" s="121">
        <f t="shared" ref="G564:V564" si="202">IF($F$250&lt;&gt;0,G250/$F$250,0)</f>
        <v>0.48473600598565864</v>
      </c>
      <c r="H564" s="121">
        <f t="shared" si="202"/>
        <v>0.1712598704935383</v>
      </c>
      <c r="I564" s="121">
        <f t="shared" si="202"/>
        <v>0.2107724725886834</v>
      </c>
      <c r="J564" s="121">
        <f t="shared" si="202"/>
        <v>2.9285256497544185E-2</v>
      </c>
      <c r="K564" s="121">
        <f t="shared" si="202"/>
        <v>1.970029061502351E-2</v>
      </c>
      <c r="L564" s="121">
        <f t="shared" si="202"/>
        <v>3.7154552614171776E-2</v>
      </c>
      <c r="M564" s="121">
        <f t="shared" si="202"/>
        <v>1.0136387700189126E-2</v>
      </c>
      <c r="N564" s="121">
        <f t="shared" si="202"/>
        <v>3.0982560096205242E-3</v>
      </c>
      <c r="O564" s="121">
        <f t="shared" si="202"/>
        <v>5.4841706098269112E-3</v>
      </c>
      <c r="P564" s="121">
        <f t="shared" si="202"/>
        <v>5.3679521958838869E-3</v>
      </c>
      <c r="Q564" s="121">
        <f t="shared" si="202"/>
        <v>6.0917399947533445E-3</v>
      </c>
      <c r="R564" s="121">
        <f t="shared" si="202"/>
        <v>1.7889350672119395E-3</v>
      </c>
      <c r="S564" s="121">
        <f t="shared" si="202"/>
        <v>5.4799390115559295E-3</v>
      </c>
      <c r="T564" s="121">
        <f t="shared" si="202"/>
        <v>1.5264508988823196E-3</v>
      </c>
      <c r="U564" s="121">
        <f t="shared" si="202"/>
        <v>0</v>
      </c>
      <c r="V564" s="122">
        <f t="shared" si="202"/>
        <v>8.117719717456201E-3</v>
      </c>
      <c r="X564" s="6"/>
    </row>
    <row r="565" spans="1:24" ht="16.5" x14ac:dyDescent="0.3">
      <c r="A565" s="28"/>
      <c r="B565" s="28"/>
      <c r="C565" s="118" t="s">
        <v>312</v>
      </c>
      <c r="E565" s="6" t="s">
        <v>309</v>
      </c>
      <c r="F565" s="120">
        <f>SUM(G565:V565)</f>
        <v>0.99999999999999989</v>
      </c>
      <c r="G565" s="121">
        <f t="shared" ref="G565:U565" si="203">IF(SUM($F$250,$F$252)&lt;&gt;0,(SUM(G250,G252)/SUM($F$250-$V$250,$F$252-$V$252)),0)</f>
        <v>0.47280098385243735</v>
      </c>
      <c r="H565" s="121">
        <f t="shared" si="203"/>
        <v>0.16704316218296675</v>
      </c>
      <c r="I565" s="121">
        <f t="shared" si="203"/>
        <v>0.2055828970375449</v>
      </c>
      <c r="J565" s="121">
        <f t="shared" si="203"/>
        <v>2.8564203841749534E-2</v>
      </c>
      <c r="K565" s="121">
        <f t="shared" si="203"/>
        <v>1.9215236066531496E-2</v>
      </c>
      <c r="L565" s="121">
        <f t="shared" si="203"/>
        <v>3.6239744548906674E-2</v>
      </c>
      <c r="M565" s="121">
        <f t="shared" si="203"/>
        <v>9.886812653031915E-3</v>
      </c>
      <c r="N565" s="121">
        <f t="shared" si="203"/>
        <v>3.0219716948747762E-3</v>
      </c>
      <c r="O565" s="121">
        <f t="shared" si="203"/>
        <v>5.3491410333101992E-3</v>
      </c>
      <c r="P565" s="121">
        <f t="shared" si="203"/>
        <v>5.2357841137178531E-3</v>
      </c>
      <c r="Q565" s="121">
        <f t="shared" si="203"/>
        <v>5.9417510301016012E-3</v>
      </c>
      <c r="R565" s="121">
        <f t="shared" si="203"/>
        <v>1.7448884534708058E-3</v>
      </c>
      <c r="S565" s="121">
        <f t="shared" si="203"/>
        <v>5.3450136241615428E-3</v>
      </c>
      <c r="T565" s="121">
        <f t="shared" si="203"/>
        <v>1.4888670902968792E-3</v>
      </c>
      <c r="U565" s="121">
        <f t="shared" si="203"/>
        <v>3.2539542776897808E-2</v>
      </c>
      <c r="V565" s="122"/>
      <c r="X565" s="6"/>
    </row>
    <row r="566" spans="1:24" ht="16.5" x14ac:dyDescent="0.3">
      <c r="A566" s="28"/>
      <c r="B566" s="28"/>
      <c r="C566" s="118" t="s">
        <v>313</v>
      </c>
      <c r="E566" s="6" t="s">
        <v>309</v>
      </c>
      <c r="F566" s="120">
        <f>SUM(G566:V566)</f>
        <v>1.0000000000000002</v>
      </c>
      <c r="G566" s="123">
        <f t="shared" ref="G566:U566" si="204">IF($F$250&lt;&gt;0,G250/($F$250-$V$250),0)</f>
        <v>0.48870316127391505</v>
      </c>
      <c r="H566" s="123">
        <f t="shared" si="204"/>
        <v>0.17266148805960507</v>
      </c>
      <c r="I566" s="123">
        <f t="shared" si="204"/>
        <v>0.21249746747027637</v>
      </c>
      <c r="J566" s="123">
        <f t="shared" si="204"/>
        <v>2.9524931617088773E-2</v>
      </c>
      <c r="K566" s="123">
        <f t="shared" si="204"/>
        <v>1.9861520874646297E-2</v>
      </c>
      <c r="L566" s="123">
        <f t="shared" si="204"/>
        <v>3.7458631283934292E-2</v>
      </c>
      <c r="M566" s="123">
        <f t="shared" si="204"/>
        <v>1.0219345482512011E-2</v>
      </c>
      <c r="N566" s="123">
        <f t="shared" si="204"/>
        <v>3.1236126213868513E-3</v>
      </c>
      <c r="O566" s="123">
        <f t="shared" si="204"/>
        <v>5.5290539198509644E-3</v>
      </c>
      <c r="P566" s="123">
        <f t="shared" si="204"/>
        <v>5.4118843562310564E-3</v>
      </c>
      <c r="Q566" s="123">
        <f t="shared" si="204"/>
        <v>6.1415957476506937E-3</v>
      </c>
      <c r="R566" s="123">
        <f t="shared" si="204"/>
        <v>1.8035759916008886E-3</v>
      </c>
      <c r="S566" s="123">
        <f t="shared" si="204"/>
        <v>5.5247876895178879E-3</v>
      </c>
      <c r="T566" s="123">
        <f t="shared" si="204"/>
        <v>1.53894361178375E-3</v>
      </c>
      <c r="U566" s="124">
        <f t="shared" si="204"/>
        <v>0</v>
      </c>
      <c r="V566" s="125"/>
    </row>
    <row r="567" spans="1:24" ht="16.5" x14ac:dyDescent="0.3">
      <c r="A567" s="19"/>
      <c r="B567" s="19"/>
      <c r="C567" s="118"/>
      <c r="D567" s="6"/>
      <c r="E567" s="20" t="s">
        <v>314</v>
      </c>
      <c r="V567" s="125"/>
    </row>
    <row r="568" spans="1:24" ht="16.5" x14ac:dyDescent="0.3">
      <c r="A568" s="19"/>
      <c r="B568" s="19"/>
      <c r="C568" s="118"/>
      <c r="D568" s="6"/>
      <c r="E568" s="20" t="s">
        <v>315</v>
      </c>
      <c r="V568" s="125"/>
    </row>
    <row r="569" spans="1:24" ht="16.5" x14ac:dyDescent="0.3">
      <c r="A569" s="19"/>
      <c r="B569" s="19"/>
      <c r="C569" s="118"/>
      <c r="E569" s="120" t="s">
        <v>38</v>
      </c>
      <c r="F569" s="120">
        <v>0.3065225235452087</v>
      </c>
      <c r="G569" s="120">
        <f>+'Schedule F IslIntCos'!G$24/'Schedule F IslIntCos'!$F$24*'Schedule F IslIntCos'!$F$569</f>
        <v>0.15238067195280558</v>
      </c>
      <c r="H569" s="120">
        <f>+'Schedule F IslIntCos'!H$24/'Schedule F IslIntCos'!$F$24*'Schedule F IslIntCos'!$F$569</f>
        <v>0.1541418515924031</v>
      </c>
      <c r="I569" s="120">
        <f>+'Schedule F IslIntCos'!I$24/'Schedule F IslIntCos'!$F$24*'Schedule F IslIntCos'!$F$569</f>
        <v>0</v>
      </c>
      <c r="J569" s="120">
        <f>+'Schedule F IslIntCos'!J$24/'Schedule F IslIntCos'!$F$24*'Schedule F IslIntCos'!$F$569</f>
        <v>0</v>
      </c>
      <c r="K569" s="120"/>
      <c r="L569" s="120"/>
      <c r="V569" s="125"/>
    </row>
    <row r="570" spans="1:24" ht="16.5" x14ac:dyDescent="0.3">
      <c r="A570" s="19"/>
      <c r="B570" s="19"/>
      <c r="C570" s="118"/>
      <c r="E570" s="120" t="s">
        <v>60</v>
      </c>
      <c r="F570" s="120">
        <v>0.30483194921133377</v>
      </c>
      <c r="G570" s="120">
        <f>+'Schedule F IslIntCos'!G$25/'Schedule F IslIntCos'!$F$25*'Schedule F IslIntCos'!$F$570</f>
        <v>0.2708127036793489</v>
      </c>
      <c r="H570" s="120">
        <f>+'Schedule F IslIntCos'!H$25/'Schedule F IslIntCos'!$F$25*'Schedule F IslIntCos'!$F$570</f>
        <v>3.4019245531984849E-2</v>
      </c>
      <c r="I570" s="120">
        <f>+'Schedule F IslIntCos'!I$25/'Schedule F IslIntCos'!$F$25*'Schedule F IslIntCos'!$F$570</f>
        <v>0</v>
      </c>
      <c r="V570" s="125"/>
    </row>
    <row r="571" spans="1:24" ht="16.5" x14ac:dyDescent="0.3">
      <c r="A571" s="19"/>
      <c r="B571" s="19"/>
      <c r="C571" s="118"/>
      <c r="E571" s="120" t="s">
        <v>65</v>
      </c>
      <c r="F571" s="120">
        <v>6.3319866194748112E-3</v>
      </c>
      <c r="G571" s="120">
        <f>'Schedule F IslIntCos'!G28/'Schedule F IslIntCos'!$F28*$F571</f>
        <v>6.3319866194748112E-3</v>
      </c>
      <c r="H571" s="120">
        <f>'Schedule F IslIntCos'!H28/'Schedule F IslIntCos'!$F28*$F571</f>
        <v>0</v>
      </c>
      <c r="I571" s="120">
        <f>'Schedule F IslIntCos'!I28/'Schedule F IslIntCos'!$F28*$F571</f>
        <v>0</v>
      </c>
      <c r="J571" s="120">
        <f>'Schedule F IslIntCos'!J28/'Schedule F IslIntCos'!$F28*$F571</f>
        <v>0</v>
      </c>
      <c r="K571" s="120"/>
      <c r="L571" s="120"/>
      <c r="V571" s="125"/>
    </row>
    <row r="572" spans="1:24" ht="16.5" x14ac:dyDescent="0.3">
      <c r="A572" s="19"/>
      <c r="B572" s="19"/>
      <c r="C572" s="118"/>
      <c r="E572" s="120" t="s">
        <v>62</v>
      </c>
      <c r="F572" s="120">
        <v>7.5215814138153883E-2</v>
      </c>
      <c r="G572" s="120">
        <f>+'Schedule F IslIntCos'!G26/'Schedule F IslIntCos'!$F26*$F572</f>
        <v>7.5215814138153883E-2</v>
      </c>
      <c r="H572" s="120">
        <f>+'Schedule F IslIntCos'!H26/'Schedule F IslIntCos'!$F26*$F572</f>
        <v>0</v>
      </c>
      <c r="I572" s="120">
        <f>+'Schedule F IslIntCos'!I26/'Schedule F IslIntCos'!$F26*$F572</f>
        <v>0</v>
      </c>
      <c r="J572" s="120">
        <f>+'Schedule F IslIntCos'!J26/'Schedule F IslIntCos'!$F26*$F572</f>
        <v>0</v>
      </c>
      <c r="K572" s="120"/>
      <c r="L572" s="120"/>
      <c r="V572" s="125"/>
    </row>
    <row r="573" spans="1:24" ht="16.5" x14ac:dyDescent="0.3">
      <c r="A573" s="19"/>
      <c r="B573" s="19"/>
      <c r="C573" s="118"/>
      <c r="E573" s="120" t="s">
        <v>316</v>
      </c>
      <c r="F573" s="120">
        <v>1.358716933123298E-2</v>
      </c>
      <c r="G573" s="120">
        <f>+'Schedule F IslIntCos'!G29/'Schedule F IslIntCos'!$F29*$F573</f>
        <v>8.8896891689719936E-3</v>
      </c>
      <c r="H573" s="120">
        <f>+'Schedule F IslIntCos'!H29/'Schedule F IslIntCos'!$F29*$F573</f>
        <v>4.6974801622609828E-3</v>
      </c>
      <c r="I573" s="120">
        <f>+'Schedule F IslIntCos'!I29/'Schedule F IslIntCos'!$F29*$F573</f>
        <v>0</v>
      </c>
      <c r="J573" s="120">
        <f>+'Schedule F IslIntCos'!J29/'Schedule F IslIntCos'!$F29*$F573</f>
        <v>0</v>
      </c>
      <c r="K573" s="120"/>
      <c r="L573" s="120"/>
      <c r="V573" s="125"/>
    </row>
    <row r="574" spans="1:24" ht="16.5" x14ac:dyDescent="0.3">
      <c r="A574" s="19"/>
      <c r="B574" s="19"/>
      <c r="C574" s="118"/>
      <c r="E574" s="120" t="s">
        <v>143</v>
      </c>
      <c r="F574" s="120">
        <v>0</v>
      </c>
      <c r="G574" s="120">
        <f>'Schedule F IslIntCos'!G31/'Schedule F IslIntCos'!$F31*$F574</f>
        <v>0</v>
      </c>
      <c r="H574" s="120">
        <f>'Schedule F IslIntCos'!H31/'Schedule F IslIntCos'!$F31*$F574</f>
        <v>0</v>
      </c>
      <c r="I574" s="120">
        <f>'Schedule F IslIntCos'!I31/'Schedule F IslIntCos'!$F31*$F574</f>
        <v>0</v>
      </c>
      <c r="J574" s="120">
        <f>'Schedule F IslIntCos'!J31/'Schedule F IslIntCos'!$F31*$F574</f>
        <v>0</v>
      </c>
      <c r="K574" s="120">
        <f>'Schedule F IslIntCos'!K31/'Schedule F IslIntCos'!$F31*$F574</f>
        <v>0</v>
      </c>
      <c r="L574" s="120">
        <f>'Schedule F IslIntCos'!L31/'Schedule F IslIntCos'!$F31*$F574</f>
        <v>0</v>
      </c>
      <c r="M574" s="120">
        <f>'Schedule F IslIntCos'!M31/'Schedule F IslIntCos'!$F31*$F574</f>
        <v>0</v>
      </c>
      <c r="N574" s="120">
        <f>'Schedule F IslIntCos'!N31/'Schedule F IslIntCos'!$F31*$F574</f>
        <v>0</v>
      </c>
      <c r="O574" s="120">
        <f>'Schedule F IslIntCos'!O31/'Schedule F IslIntCos'!$F31*$F574</f>
        <v>0</v>
      </c>
      <c r="P574" s="120">
        <f>'Schedule F IslIntCos'!P31/'Schedule F IslIntCos'!$F31*$F574</f>
        <v>0</v>
      </c>
      <c r="Q574" s="120">
        <f>'Schedule F IslIntCos'!Q31/'Schedule F IslIntCos'!$F31*$F574</f>
        <v>0</v>
      </c>
      <c r="R574" s="120">
        <f>'Schedule F IslIntCos'!R31/'Schedule F IslIntCos'!$F31*$F574</f>
        <v>0</v>
      </c>
      <c r="S574" s="120">
        <f>'Schedule F IslIntCos'!S31/'Schedule F IslIntCos'!$F31*$F574</f>
        <v>0</v>
      </c>
      <c r="T574" s="120">
        <f>'Schedule F IslIntCos'!T31/'Schedule F IslIntCos'!$F31*$F574</f>
        <v>0</v>
      </c>
      <c r="U574" s="120">
        <f>'Schedule F IslIntCos'!U31/'Schedule F IslIntCos'!$F31*$F574</f>
        <v>0</v>
      </c>
      <c r="V574" s="126">
        <f>'Schedule F IslIntCos'!V31/'Schedule F IslIntCos'!$F31*$F574</f>
        <v>0</v>
      </c>
    </row>
    <row r="575" spans="1:24" ht="16.5" x14ac:dyDescent="0.3">
      <c r="A575" s="19"/>
      <c r="B575" s="19"/>
      <c r="C575" s="118"/>
      <c r="E575" s="120" t="s">
        <v>113</v>
      </c>
      <c r="F575" s="120">
        <v>0.11792000555194539</v>
      </c>
      <c r="G575" s="120">
        <f>'Schedule F IslIntCos'!G37/'Schedule F IslIntCos'!$F37*$F575</f>
        <v>1.0912730385516815E-2</v>
      </c>
      <c r="H575" s="120">
        <f>'Schedule F IslIntCos'!H37/'Schedule F IslIntCos'!$F37*$F575</f>
        <v>7.6705066981800074E-3</v>
      </c>
      <c r="I575" s="120">
        <f>'Schedule F IslIntCos'!I37/'Schedule F IslIntCos'!$F37*$F575</f>
        <v>8.0647740805751336E-2</v>
      </c>
      <c r="J575" s="120">
        <f>'Schedule F IslIntCos'!J37/'Schedule F IslIntCos'!$F37*$F575</f>
        <v>7.7981038462658515E-3</v>
      </c>
      <c r="K575" s="120">
        <f>'Schedule F IslIntCos'!K37/'Schedule F IslIntCos'!$F37*$F575</f>
        <v>5.0207744530064921E-3</v>
      </c>
      <c r="L575" s="120">
        <f>'Schedule F IslIntCos'!L37/'Schedule F IslIntCos'!$F37*$F575</f>
        <v>0</v>
      </c>
      <c r="M575" s="120">
        <f>'Schedule F IslIntCos'!M37/'Schedule F IslIntCos'!$F37*$F575</f>
        <v>0</v>
      </c>
      <c r="N575" s="120">
        <f>'Schedule F IslIntCos'!N37/'Schedule F IslIntCos'!$F37*$F575</f>
        <v>0</v>
      </c>
      <c r="O575" s="120">
        <f>'Schedule F IslIntCos'!O37/'Schedule F IslIntCos'!$F37*$F575</f>
        <v>0</v>
      </c>
      <c r="P575" s="120">
        <f>'Schedule F IslIntCos'!P37/'Schedule F IslIntCos'!$F37*$F575</f>
        <v>0</v>
      </c>
      <c r="Q575" s="120">
        <f>'Schedule F IslIntCos'!Q37/'Schedule F IslIntCos'!$F37*$F575</f>
        <v>0</v>
      </c>
      <c r="R575" s="120">
        <f>'Schedule F IslIntCos'!R37/'Schedule F IslIntCos'!$F37*$F575</f>
        <v>0</v>
      </c>
      <c r="S575" s="120">
        <f>'Schedule F IslIntCos'!S37/'Schedule F IslIntCos'!$F37*$F575</f>
        <v>0</v>
      </c>
      <c r="T575" s="120">
        <f>'Schedule F IslIntCos'!T37/'Schedule F IslIntCos'!$F37*$F575</f>
        <v>0</v>
      </c>
      <c r="U575" s="120">
        <f>'Schedule F IslIntCos'!U37/'Schedule F IslIntCos'!$F37*$F575</f>
        <v>0</v>
      </c>
      <c r="V575" s="126">
        <f>'Schedule F IslIntCos'!V37/'Schedule F IslIntCos'!$F37*$F575</f>
        <v>5.8701493632248728E-3</v>
      </c>
    </row>
    <row r="576" spans="1:24" ht="16.5" x14ac:dyDescent="0.3">
      <c r="A576" s="19"/>
      <c r="B576" s="19"/>
      <c r="C576" s="118"/>
      <c r="E576" s="120" t="s">
        <v>317</v>
      </c>
      <c r="F576" s="120">
        <v>3.4612990599576458E-3</v>
      </c>
      <c r="G576" s="120">
        <f>'Schedule F IslIntCos'!G38/'Schedule F IslIntCos'!$F38*$F576</f>
        <v>1.7996858289130025E-4</v>
      </c>
      <c r="H576" s="120">
        <f>'Schedule F IslIntCos'!H38/'Schedule F IslIntCos'!$F38*$F576</f>
        <v>1.4234198120534916E-4</v>
      </c>
      <c r="I576" s="120">
        <f>'Schedule F IslIntCos'!I38/'Schedule F IslIntCos'!$F38*$F576</f>
        <v>2.5081097719949963E-3</v>
      </c>
      <c r="J576" s="120">
        <f>'Schedule F IslIntCos'!J38/'Schedule F IslIntCos'!$F38*$F576</f>
        <v>3.7839235671215593E-4</v>
      </c>
      <c r="K576" s="120">
        <f>'Schedule F IslIntCos'!K38/'Schedule F IslIntCos'!$F38*$F576</f>
        <v>5.9185665727598343E-5</v>
      </c>
      <c r="L576" s="120">
        <f>'Schedule F IslIntCos'!L38/'Schedule F IslIntCos'!$F38*$F576</f>
        <v>0</v>
      </c>
      <c r="M576" s="120">
        <f>'Schedule F IslIntCos'!M38/'Schedule F IslIntCos'!$F38*$F576</f>
        <v>0</v>
      </c>
      <c r="N576" s="120">
        <f>'Schedule F IslIntCos'!N38/'Schedule F IslIntCos'!$F38*$F576</f>
        <v>0</v>
      </c>
      <c r="O576" s="120">
        <f>'Schedule F IslIntCos'!O38/'Schedule F IslIntCos'!$F38*$F576</f>
        <v>0</v>
      </c>
      <c r="P576" s="120">
        <f>'Schedule F IslIntCos'!P38/'Schedule F IslIntCos'!$F38*$F576</f>
        <v>0</v>
      </c>
      <c r="Q576" s="120">
        <f>'Schedule F IslIntCos'!Q38/'Schedule F IslIntCos'!$F38*$F576</f>
        <v>0</v>
      </c>
      <c r="R576" s="120">
        <f>'Schedule F IslIntCos'!R38/'Schedule F IslIntCos'!$F38*$F576</f>
        <v>0</v>
      </c>
      <c r="S576" s="120">
        <f>'Schedule F IslIntCos'!S38/'Schedule F IslIntCos'!$F38*$F576</f>
        <v>0</v>
      </c>
      <c r="T576" s="120">
        <f>'Schedule F IslIntCos'!T38/'Schedule F IslIntCos'!$F38*$F576</f>
        <v>0</v>
      </c>
      <c r="U576" s="120">
        <f>'Schedule F IslIntCos'!U38/'Schedule F IslIntCos'!$F38*$F576</f>
        <v>0</v>
      </c>
      <c r="V576" s="126">
        <f>'Schedule F IslIntCos'!V38/'Schedule F IslIntCos'!$F38*$F576</f>
        <v>1.9330070142624546E-4</v>
      </c>
    </row>
    <row r="577" spans="1:26" ht="16.5" x14ac:dyDescent="0.3">
      <c r="A577" s="19"/>
      <c r="B577" s="19"/>
      <c r="C577" s="118"/>
      <c r="E577" s="120" t="s">
        <v>9</v>
      </c>
      <c r="F577" s="120">
        <v>0.11523035106545196</v>
      </c>
      <c r="G577" s="120">
        <f>SUM('Schedule F IslIntCos'!G50,-'Schedule F IslIntCos'!G48)/SUM('Schedule F IslIntCos'!$F50,-'Schedule F IslIntCos'!$F48)*$F577</f>
        <v>0</v>
      </c>
      <c r="H577" s="120">
        <f>SUM('Schedule F IslIntCos'!H50,-'Schedule F IslIntCos'!H48)/SUM('Schedule F IslIntCos'!$F50,-'Schedule F IslIntCos'!$F48)*$F577</f>
        <v>0</v>
      </c>
      <c r="I577" s="120">
        <f>SUM('Schedule F IslIntCos'!I50,-'Schedule F IslIntCos'!I48)/SUM('Schedule F IslIntCos'!$F50,-'Schedule F IslIntCos'!$F48)*$F577</f>
        <v>0</v>
      </c>
      <c r="J577" s="120">
        <f>SUM('Schedule F IslIntCos'!J50,-'Schedule F IslIntCos'!J48)/SUM('Schedule F IslIntCos'!$F50,-'Schedule F IslIntCos'!$F48)*$F577</f>
        <v>0</v>
      </c>
      <c r="K577" s="120">
        <f>SUM('Schedule F IslIntCos'!K50,-'Schedule F IslIntCos'!K48)/SUM('Schedule F IslIntCos'!$F50,-'Schedule F IslIntCos'!$F48)*$F577</f>
        <v>1.7830163775440454E-2</v>
      </c>
      <c r="L577" s="120">
        <f>SUM('Schedule F IslIntCos'!L50,-'Schedule F IslIntCos'!L48)/SUM('Schedule F IslIntCos'!$F50,-'Schedule F IslIntCos'!$F48)*$F577</f>
        <v>5.1223496549133551E-2</v>
      </c>
      <c r="M577" s="120">
        <f>SUM('Schedule F IslIntCos'!M50,-'Schedule F IslIntCos'!M48)/SUM('Schedule F IslIntCos'!$F50,-'Schedule F IslIntCos'!$F48)*$F577</f>
        <v>1.3974632551039576E-2</v>
      </c>
      <c r="N577" s="120">
        <f>SUM('Schedule F IslIntCos'!N50,-'Schedule F IslIntCos'!N48)/SUM('Schedule F IslIntCos'!$F50,-'Schedule F IslIntCos'!$F48)*$F577</f>
        <v>4.2714417171206978E-3</v>
      </c>
      <c r="O577" s="120">
        <f>SUM('Schedule F IslIntCos'!O50,-'Schedule F IslIntCos'!O48)/SUM('Schedule F IslIntCos'!$F50,-'Schedule F IslIntCos'!$F48)*$F577</f>
        <v>7.5608068067593527E-3</v>
      </c>
      <c r="P577" s="120">
        <f>SUM('Schedule F IslIntCos'!P50,-'Schedule F IslIntCos'!P48)/SUM('Schedule F IslIntCos'!$F50,-'Schedule F IslIntCos'!$F48)*$F577</f>
        <v>7.4005811249330672E-3</v>
      </c>
      <c r="Q577" s="120">
        <f>SUM('Schedule F IslIntCos'!Q50,-'Schedule F IslIntCos'!Q48)/SUM('Schedule F IslIntCos'!$F50,-'Schedule F IslIntCos'!$F48)*$F577</f>
        <v>8.3984384320226219E-3</v>
      </c>
      <c r="R577" s="120">
        <f>SUM('Schedule F IslIntCos'!R50,-'Schedule F IslIntCos'!R48)/SUM('Schedule F IslIntCos'!$F50,-'Schedule F IslIntCos'!$F48)*$F577</f>
        <v>2.4663332699369515E-3</v>
      </c>
      <c r="S577" s="120">
        <f>SUM('Schedule F IslIntCos'!S50,-'Schedule F IslIntCos'!S48)/SUM('Schedule F IslIntCos'!$F50,-'Schedule F IslIntCos'!$F48)*$F577</f>
        <v>0</v>
      </c>
      <c r="T577" s="120">
        <f>SUM('Schedule F IslIntCos'!T50,-'Schedule F IslIntCos'!T48)/SUM('Schedule F IslIntCos'!$F50,-'Schedule F IslIntCos'!$F48)*$F577</f>
        <v>2.1044568390657038E-3</v>
      </c>
      <c r="U577" s="120">
        <f>SUM('Schedule F IslIntCos'!U50,-'Schedule F IslIntCos'!U48)/SUM('Schedule F IslIntCos'!$F50,-'Schedule F IslIntCos'!$F48)*$F577</f>
        <v>0</v>
      </c>
      <c r="V577" s="126">
        <f>SUM('Schedule F IslIntCos'!V50,-'Schedule F IslIntCos'!V48)/SUM('Schedule F IslIntCos'!$F50,-'Schedule F IslIntCos'!$F48)*$F577</f>
        <v>0</v>
      </c>
    </row>
    <row r="578" spans="1:26" ht="16.5" x14ac:dyDescent="0.3">
      <c r="A578" s="19"/>
      <c r="B578" s="19"/>
      <c r="C578" s="118"/>
      <c r="E578" s="120" t="s">
        <v>23</v>
      </c>
      <c r="F578" s="120">
        <v>6.4751815760543258E-3</v>
      </c>
      <c r="S578" s="120">
        <f>+F578</f>
        <v>6.4751815760543258E-3</v>
      </c>
      <c r="T578" s="120"/>
      <c r="U578" s="120"/>
      <c r="V578" s="125"/>
    </row>
    <row r="579" spans="1:26" ht="16.5" x14ac:dyDescent="0.3">
      <c r="A579" s="19"/>
      <c r="B579" s="19"/>
      <c r="C579" s="118"/>
      <c r="E579" s="120" t="s">
        <v>318</v>
      </c>
      <c r="F579" s="120">
        <v>5.0423719901186409E-2</v>
      </c>
      <c r="S579" s="120"/>
      <c r="T579" s="120"/>
      <c r="U579" s="120">
        <f>+F579</f>
        <v>5.0423719901186409E-2</v>
      </c>
      <c r="V579" s="125"/>
    </row>
    <row r="580" spans="1:26" ht="16.5" x14ac:dyDescent="0.3">
      <c r="A580" s="28">
        <f>(SUM(G580:AF580)-1)*1000</f>
        <v>-3.3306690738754696E-13</v>
      </c>
      <c r="B580" s="28"/>
      <c r="C580" s="118" t="s">
        <v>319</v>
      </c>
      <c r="E580" s="127" t="s">
        <v>15</v>
      </c>
      <c r="F580" s="128">
        <f>SUM(F569:F579)</f>
        <v>0.99999999999999989</v>
      </c>
      <c r="G580" s="128">
        <f>SUM(G569:G579)</f>
        <v>0.52472356452716329</v>
      </c>
      <c r="H580" s="128">
        <f>SUM(H569:H579)</f>
        <v>0.20067142596603429</v>
      </c>
      <c r="I580" s="128">
        <f>SUM(I569:I579)</f>
        <v>8.3155850577746326E-2</v>
      </c>
      <c r="J580" s="128">
        <f t="shared" ref="J580:V580" si="205">SUM(J569:J579)</f>
        <v>8.1764962029780078E-3</v>
      </c>
      <c r="K580" s="128">
        <f t="shared" si="205"/>
        <v>2.2910123894174544E-2</v>
      </c>
      <c r="L580" s="128">
        <f t="shared" si="205"/>
        <v>5.1223496549133551E-2</v>
      </c>
      <c r="M580" s="128">
        <f t="shared" si="205"/>
        <v>1.3974632551039576E-2</v>
      </c>
      <c r="N580" s="128">
        <f t="shared" si="205"/>
        <v>4.2714417171206978E-3</v>
      </c>
      <c r="O580" s="128">
        <f t="shared" si="205"/>
        <v>7.5608068067593527E-3</v>
      </c>
      <c r="P580" s="128">
        <f t="shared" si="205"/>
        <v>7.4005811249330672E-3</v>
      </c>
      <c r="Q580" s="128">
        <f t="shared" si="205"/>
        <v>8.3984384320226219E-3</v>
      </c>
      <c r="R580" s="128">
        <f t="shared" si="205"/>
        <v>2.4663332699369515E-3</v>
      </c>
      <c r="S580" s="128">
        <f t="shared" si="205"/>
        <v>6.4751815760543258E-3</v>
      </c>
      <c r="T580" s="128">
        <f t="shared" si="205"/>
        <v>2.1044568390657038E-3</v>
      </c>
      <c r="U580" s="128">
        <f t="shared" si="205"/>
        <v>5.0423719901186409E-2</v>
      </c>
      <c r="V580" s="129">
        <f t="shared" si="205"/>
        <v>6.0634500646511184E-3</v>
      </c>
      <c r="Z580" s="1"/>
    </row>
    <row r="581" spans="1:26" ht="13.5" x14ac:dyDescent="0.25">
      <c r="A581" s="19"/>
      <c r="B581" s="19"/>
      <c r="C581" s="118"/>
      <c r="V581" s="125"/>
    </row>
    <row r="582" spans="1:26" ht="16.5" x14ac:dyDescent="0.3">
      <c r="A582" s="19"/>
      <c r="B582" s="19"/>
      <c r="C582" s="118"/>
      <c r="E582" s="20" t="s">
        <v>320</v>
      </c>
      <c r="V582" s="125"/>
    </row>
    <row r="583" spans="1:26" ht="16.5" x14ac:dyDescent="0.3">
      <c r="A583" s="19"/>
      <c r="B583" s="19"/>
      <c r="C583" s="118"/>
      <c r="E583" s="120" t="s">
        <v>38</v>
      </c>
      <c r="F583" s="120">
        <v>0.32279926317589963</v>
      </c>
      <c r="G583" s="120">
        <f>+'Schedule F IslIntCos'!G$24/'Schedule F IslIntCos'!$F$24*'Schedule F IslIntCos'!$F$583</f>
        <v>0.16047228131788291</v>
      </c>
      <c r="H583" s="120">
        <f>+'Schedule F IslIntCos'!H$24/'Schedule F IslIntCos'!$F$24*'Schedule F IslIntCos'!$F$583</f>
        <v>0.16232698185801669</v>
      </c>
      <c r="I583" s="120">
        <f>+'Schedule F IslIntCos'!I$24/'Schedule F IslIntCos'!$F$24*'Schedule F IslIntCos'!$F$583</f>
        <v>0</v>
      </c>
      <c r="J583" s="120">
        <f>+'Schedule F IslIntCos'!J$24/'Schedule F IslIntCos'!$F$24*'Schedule F IslIntCos'!$F$583</f>
        <v>0</v>
      </c>
      <c r="V583" s="125"/>
    </row>
    <row r="584" spans="1:26" ht="16.5" x14ac:dyDescent="0.3">
      <c r="A584" s="19"/>
      <c r="B584" s="19"/>
      <c r="C584" s="118"/>
      <c r="E584" s="120" t="s">
        <v>60</v>
      </c>
      <c r="F584" s="120">
        <v>0.32101891717389225</v>
      </c>
      <c r="G584" s="120">
        <f>+'Schedule F IslIntCos'!G$25/'Schedule F IslIntCos'!$F$25*'Schedule F IslIntCos'!$F$584</f>
        <v>0.28519320601728587</v>
      </c>
      <c r="H584" s="120">
        <f>+'Schedule F IslIntCos'!H$25/'Schedule F IslIntCos'!$F$25*'Schedule F IslIntCos'!$F$584</f>
        <v>3.5825711156606377E-2</v>
      </c>
      <c r="I584" s="120">
        <f>+'Schedule F IslIntCos'!I$25/'Schedule F IslIntCos'!$F$25*'Schedule F IslIntCos'!$F$584</f>
        <v>0</v>
      </c>
      <c r="V584" s="125"/>
    </row>
    <row r="585" spans="1:26" ht="16.5" x14ac:dyDescent="0.3">
      <c r="A585" s="19"/>
      <c r="B585" s="19"/>
      <c r="C585" s="118"/>
      <c r="E585" s="120" t="s">
        <v>65</v>
      </c>
      <c r="F585" s="120">
        <v>6.668223240386649E-3</v>
      </c>
      <c r="G585" s="120">
        <f>'Schedule F IslIntCos'!G28/'Schedule F IslIntCos'!$F28*$F585</f>
        <v>6.668223240386649E-3</v>
      </c>
      <c r="H585" s="120">
        <f>'Schedule F IslIntCos'!H28/'Schedule F IslIntCos'!$F28*$F585</f>
        <v>0</v>
      </c>
      <c r="I585" s="120">
        <f>'Schedule F IslIntCos'!I28/'Schedule F IslIntCos'!$F28*$F585</f>
        <v>0</v>
      </c>
      <c r="J585" s="120">
        <f>'Schedule F IslIntCos'!J28/'Schedule F IslIntCos'!$F28*$F585</f>
        <v>0</v>
      </c>
      <c r="V585" s="125"/>
    </row>
    <row r="586" spans="1:26" ht="16.5" x14ac:dyDescent="0.3">
      <c r="A586" s="19"/>
      <c r="B586" s="19"/>
      <c r="C586" s="118"/>
      <c r="E586" s="120" t="s">
        <v>62</v>
      </c>
      <c r="F586" s="120">
        <v>7.9209870459618956E-2</v>
      </c>
      <c r="G586" s="120">
        <f>+'Schedule F IslIntCos'!G26/'Schedule F IslIntCos'!$F26*$F586</f>
        <v>7.9209870459618956E-2</v>
      </c>
      <c r="H586" s="120">
        <f>+'Schedule F IslIntCos'!H26/'Schedule F IslIntCos'!$F26*$F586</f>
        <v>0</v>
      </c>
      <c r="I586" s="120">
        <f>+'Schedule F IslIntCos'!I26/'Schedule F IslIntCos'!$F26*$F586</f>
        <v>0</v>
      </c>
      <c r="J586" s="120">
        <f>+'Schedule F IslIntCos'!J26/'Schedule F IslIntCos'!$F26*$F586</f>
        <v>0</v>
      </c>
      <c r="V586" s="125"/>
    </row>
    <row r="587" spans="1:26" ht="16.5" x14ac:dyDescent="0.3">
      <c r="A587" s="19"/>
      <c r="B587" s="19"/>
      <c r="C587" s="118"/>
      <c r="E587" s="120" t="s">
        <v>316</v>
      </c>
      <c r="F587" s="120">
        <v>1.4308665471107903E-2</v>
      </c>
      <c r="G587" s="120">
        <f>+'Schedule F IslIntCos'!G29/'Schedule F IslIntCos'!$F29*$F587</f>
        <v>9.3617430798154811E-3</v>
      </c>
      <c r="H587" s="120">
        <f>+'Schedule F IslIntCos'!H29/'Schedule F IslIntCos'!$F29*$F587</f>
        <v>4.9469223912924198E-3</v>
      </c>
      <c r="I587" s="120">
        <f>+'Schedule F IslIntCos'!I29/'Schedule F IslIntCos'!$F29*$F587</f>
        <v>0</v>
      </c>
      <c r="J587" s="120">
        <f>+'Schedule F IslIntCos'!J29/'Schedule F IslIntCos'!$F29*$F587</f>
        <v>0</v>
      </c>
      <c r="V587" s="125"/>
    </row>
    <row r="588" spans="1:26" ht="16.5" x14ac:dyDescent="0.3">
      <c r="A588" s="19"/>
      <c r="B588" s="19"/>
      <c r="C588" s="118"/>
      <c r="E588" s="120" t="s">
        <v>143</v>
      </c>
      <c r="F588" s="120">
        <v>0</v>
      </c>
      <c r="G588" s="120">
        <f>'Schedule F IslIntCos'!G31/'Schedule F IslIntCos'!$F31*$F588</f>
        <v>0</v>
      </c>
      <c r="H588" s="120">
        <f>'Schedule F IslIntCos'!H31/'Schedule F IslIntCos'!$F31*$F588</f>
        <v>0</v>
      </c>
      <c r="I588" s="120">
        <f>'Schedule F IslIntCos'!I31/'Schedule F IslIntCos'!$F31*$F588</f>
        <v>0</v>
      </c>
      <c r="J588" s="120">
        <f>'Schedule F IslIntCos'!J31/'Schedule F IslIntCos'!$F31*$F588</f>
        <v>0</v>
      </c>
      <c r="K588" s="120">
        <f>'Schedule F IslIntCos'!K31/'Schedule F IslIntCos'!$F31*$F588</f>
        <v>0</v>
      </c>
      <c r="L588" s="120">
        <f>'Schedule F IslIntCos'!L31/'Schedule F IslIntCos'!$F31*$F588</f>
        <v>0</v>
      </c>
      <c r="M588" s="120">
        <f>'Schedule F IslIntCos'!M31/'Schedule F IslIntCos'!$F31*$F588</f>
        <v>0</v>
      </c>
      <c r="N588" s="120">
        <f>'Schedule F IslIntCos'!N31/'Schedule F IslIntCos'!$F31*$F588</f>
        <v>0</v>
      </c>
      <c r="O588" s="120">
        <f>'Schedule F IslIntCos'!O31/'Schedule F IslIntCos'!$F31*$F588</f>
        <v>0</v>
      </c>
      <c r="P588" s="120">
        <f>'Schedule F IslIntCos'!P31/'Schedule F IslIntCos'!$F31*$F588</f>
        <v>0</v>
      </c>
      <c r="Q588" s="120">
        <f>'Schedule F IslIntCos'!Q31/'Schedule F IslIntCos'!$F31*$F588</f>
        <v>0</v>
      </c>
      <c r="R588" s="120">
        <f>'Schedule F IslIntCos'!R31/'Schedule F IslIntCos'!$F31*$F588</f>
        <v>0</v>
      </c>
      <c r="S588" s="120">
        <f>'Schedule F IslIntCos'!S31/'Schedule F IslIntCos'!$F31*$F588</f>
        <v>0</v>
      </c>
      <c r="T588" s="120">
        <f>'Schedule F IslIntCos'!T31/'Schedule F IslIntCos'!$F31*$F588</f>
        <v>0</v>
      </c>
      <c r="U588" s="120">
        <f>'Schedule F IslIntCos'!U31/'Schedule F IslIntCos'!$F31*$F588</f>
        <v>0</v>
      </c>
      <c r="V588" s="126">
        <f>'Schedule F IslIntCos'!V31/'Schedule F IslIntCos'!$F31*$F588</f>
        <v>0</v>
      </c>
    </row>
    <row r="589" spans="1:26" ht="16.5" x14ac:dyDescent="0.3">
      <c r="A589" s="19"/>
      <c r="B589" s="19"/>
      <c r="C589" s="118"/>
      <c r="E589" s="120" t="s">
        <v>113</v>
      </c>
      <c r="F589" s="120">
        <v>0.12418170927739955</v>
      </c>
      <c r="G589" s="120">
        <f>'Schedule F IslIntCos'!G37/'Schedule F IslIntCos'!$F37*$F589</f>
        <v>1.1492210382910185E-2</v>
      </c>
      <c r="H589" s="120">
        <f>'Schedule F IslIntCos'!H37/'Schedule F IslIntCos'!$F37*$F589</f>
        <v>8.0778204541733182E-3</v>
      </c>
      <c r="I589" s="120">
        <f>'Schedule F IslIntCos'!I37/'Schedule F IslIntCos'!$F37*$F589</f>
        <v>8.4930239408843575E-2</v>
      </c>
      <c r="J589" s="120">
        <f>'Schedule F IslIntCos'!J37/'Schedule F IslIntCos'!$F37*$F589</f>
        <v>8.2121931746803687E-3</v>
      </c>
      <c r="K589" s="120">
        <f>'Schedule F IslIntCos'!K37/'Schedule F IslIntCos'!$F37*$F589</f>
        <v>5.2873840240449423E-3</v>
      </c>
      <c r="L589" s="120">
        <f>'Schedule F IslIntCos'!L37/'Schedule F IslIntCos'!$F37*$F589</f>
        <v>0</v>
      </c>
      <c r="M589" s="120">
        <f>'Schedule F IslIntCos'!M37/'Schedule F IslIntCos'!$F37*$F589</f>
        <v>0</v>
      </c>
      <c r="N589" s="120">
        <f>'Schedule F IslIntCos'!N37/'Schedule F IslIntCos'!$F37*$F589</f>
        <v>0</v>
      </c>
      <c r="O589" s="120">
        <f>'Schedule F IslIntCos'!O37/'Schedule F IslIntCos'!$F37*$F589</f>
        <v>0</v>
      </c>
      <c r="P589" s="120">
        <f>'Schedule F IslIntCos'!P37/'Schedule F IslIntCos'!$F37*$F589</f>
        <v>0</v>
      </c>
      <c r="Q589" s="120">
        <f>'Schedule F IslIntCos'!Q37/'Schedule F IslIntCos'!$F37*$F589</f>
        <v>0</v>
      </c>
      <c r="R589" s="120">
        <f>'Schedule F IslIntCos'!R37/'Schedule F IslIntCos'!$F37*$F589</f>
        <v>0</v>
      </c>
      <c r="S589" s="120">
        <f>'Schedule F IslIntCos'!S37/'Schedule F IslIntCos'!$F37*$F589</f>
        <v>0</v>
      </c>
      <c r="T589" s="120">
        <f>'Schedule F IslIntCos'!T37/'Schedule F IslIntCos'!$F37*$F589</f>
        <v>0</v>
      </c>
      <c r="U589" s="120">
        <f>'Schedule F IslIntCos'!U37/'Schedule F IslIntCos'!$F37*$F589</f>
        <v>0</v>
      </c>
      <c r="V589" s="126">
        <f>'Schedule F IslIntCos'!V37/'Schedule F IslIntCos'!$F37*$F589</f>
        <v>6.1818618327471502E-3</v>
      </c>
    </row>
    <row r="590" spans="1:26" ht="16.5" x14ac:dyDescent="0.3">
      <c r="A590" s="19"/>
      <c r="B590" s="19"/>
      <c r="C590" s="118"/>
      <c r="E590" s="120" t="s">
        <v>317</v>
      </c>
      <c r="F590" s="120">
        <v>3.6450984849763311E-3</v>
      </c>
      <c r="G590" s="120">
        <f>'Schedule F IslIntCos'!G38/'Schedule F IslIntCos'!$F38*$F590</f>
        <v>1.8952514575508624E-4</v>
      </c>
      <c r="H590" s="120">
        <f>'Schedule F IslIntCos'!H38/'Schedule F IslIntCos'!$F38*$F590</f>
        <v>1.4990052320023933E-4</v>
      </c>
      <c r="I590" s="120">
        <f>'Schedule F IslIntCos'!I38/'Schedule F IslIntCos'!$F38*$F590</f>
        <v>2.6412936217551689E-3</v>
      </c>
      <c r="J590" s="120">
        <f>'Schedule F IslIntCos'!J38/'Schedule F IslIntCos'!$F38*$F590</f>
        <v>3.9848547677789523E-4</v>
      </c>
      <c r="K590" s="120">
        <f>'Schedule F IslIntCos'!K38/'Schedule F IslIntCos'!$F38*$F590</f>
        <v>6.2328500582848844E-5</v>
      </c>
      <c r="L590" s="120">
        <f>'Schedule F IslIntCos'!L38/'Schedule F IslIntCos'!$F38*$F590</f>
        <v>0</v>
      </c>
      <c r="M590" s="120">
        <f>'Schedule F IslIntCos'!M38/'Schedule F IslIntCos'!$F38*$F590</f>
        <v>0</v>
      </c>
      <c r="N590" s="120">
        <f>'Schedule F IslIntCos'!N38/'Schedule F IslIntCos'!$F38*$F590</f>
        <v>0</v>
      </c>
      <c r="O590" s="120">
        <f>'Schedule F IslIntCos'!O38/'Schedule F IslIntCos'!$F38*$F590</f>
        <v>0</v>
      </c>
      <c r="P590" s="120">
        <f>'Schedule F IslIntCos'!P38/'Schedule F IslIntCos'!$F38*$F590</f>
        <v>0</v>
      </c>
      <c r="Q590" s="120">
        <f>'Schedule F IslIntCos'!Q38/'Schedule F IslIntCos'!$F38*$F590</f>
        <v>0</v>
      </c>
      <c r="R590" s="120">
        <f>'Schedule F IslIntCos'!R38/'Schedule F IslIntCos'!$F38*$F590</f>
        <v>0</v>
      </c>
      <c r="S590" s="120">
        <f>'Schedule F IslIntCos'!S38/'Schedule F IslIntCos'!$F38*$F590</f>
        <v>0</v>
      </c>
      <c r="T590" s="120">
        <f>'Schedule F IslIntCos'!T38/'Schedule F IslIntCos'!$F38*$F590</f>
        <v>0</v>
      </c>
      <c r="U590" s="120">
        <f>'Schedule F IslIntCos'!U38/'Schedule F IslIntCos'!$F38*$F590</f>
        <v>0</v>
      </c>
      <c r="V590" s="126">
        <f>'Schedule F IslIntCos'!V38/'Schedule F IslIntCos'!$F38*$F590</f>
        <v>2.0356521690509209E-4</v>
      </c>
    </row>
    <row r="591" spans="1:26" ht="16.5" x14ac:dyDescent="0.3">
      <c r="A591" s="19"/>
      <c r="B591" s="19"/>
      <c r="C591" s="118"/>
      <c r="E591" s="120" t="s">
        <v>9</v>
      </c>
      <c r="F591" s="120">
        <v>0.12134923068366978</v>
      </c>
      <c r="G591" s="120">
        <f>SUM('Schedule F IslIntCos'!G50,-'Schedule F IslIntCos'!G48)/SUM('Schedule F IslIntCos'!$F50,-'Schedule F IslIntCos'!$F48)*$F591</f>
        <v>0</v>
      </c>
      <c r="H591" s="120">
        <f>SUM('Schedule F IslIntCos'!H50,-'Schedule F IslIntCos'!H48)/SUM('Schedule F IslIntCos'!$F50,-'Schedule F IslIntCos'!$F48)*$F591</f>
        <v>0</v>
      </c>
      <c r="I591" s="120">
        <f>SUM('Schedule F IslIntCos'!I50,-'Schedule F IslIntCos'!I48)/SUM('Schedule F IslIntCos'!$F50,-'Schedule F IslIntCos'!$F48)*$F591</f>
        <v>0</v>
      </c>
      <c r="J591" s="120">
        <f>SUM('Schedule F IslIntCos'!J50,-'Schedule F IslIntCos'!J48)/SUM('Schedule F IslIntCos'!$F50,-'Schedule F IslIntCos'!$F48)*$F591</f>
        <v>0</v>
      </c>
      <c r="K591" s="120">
        <f>SUM('Schedule F IslIntCos'!K50,-'Schedule F IslIntCos'!K48)/SUM('Schedule F IslIntCos'!$F50,-'Schedule F IslIntCos'!$F48)*$F591</f>
        <v>1.8776968369076191E-2</v>
      </c>
      <c r="L591" s="120">
        <f>SUM('Schedule F IslIntCos'!L50,-'Schedule F IslIntCos'!L48)/SUM('Schedule F IslIntCos'!$F50,-'Schedule F IslIntCos'!$F48)*$F591</f>
        <v>5.3943529996140167E-2</v>
      </c>
      <c r="M591" s="120">
        <f>SUM('Schedule F IslIntCos'!M50,-'Schedule F IslIntCos'!M48)/SUM('Schedule F IslIntCos'!$F50,-'Schedule F IslIntCos'!$F48)*$F591</f>
        <v>1.4716703485459184E-2</v>
      </c>
      <c r="N591" s="120">
        <f>SUM('Schedule F IslIntCos'!N50,-'Schedule F IslIntCos'!N48)/SUM('Schedule F IslIntCos'!$F50,-'Schedule F IslIntCos'!$F48)*$F591</f>
        <v>4.4982607576046539E-3</v>
      </c>
      <c r="O591" s="120">
        <f>SUM('Schedule F IslIntCos'!O50,-'Schedule F IslIntCos'!O48)/SUM('Schedule F IslIntCos'!$F50,-'Schedule F IslIntCos'!$F48)*$F591</f>
        <v>7.9622953576436954E-3</v>
      </c>
      <c r="P591" s="120">
        <f>SUM('Schedule F IslIntCos'!P50,-'Schedule F IslIntCos'!P48)/SUM('Schedule F IslIntCos'!$F50,-'Schedule F IslIntCos'!$F48)*$F591</f>
        <v>7.7935614863536362E-3</v>
      </c>
      <c r="Q591" s="120">
        <f>SUM('Schedule F IslIntCos'!Q50,-'Schedule F IslIntCos'!Q48)/SUM('Schedule F IslIntCos'!$F50,-'Schedule F IslIntCos'!$F48)*$F591</f>
        <v>8.8444062978791701E-3</v>
      </c>
      <c r="R591" s="120">
        <f>SUM('Schedule F IslIntCos'!R50,-'Schedule F IslIntCos'!R48)/SUM('Schedule F IslIntCos'!$F50,-'Schedule F IslIntCos'!$F48)*$F591</f>
        <v>2.5972987337892464E-3</v>
      </c>
      <c r="S591" s="120">
        <f>SUM('Schedule F IslIntCos'!S50,-'Schedule F IslIntCos'!S48)/SUM('Schedule F IslIntCos'!$F50,-'Schedule F IslIntCos'!$F48)*$F591</f>
        <v>0</v>
      </c>
      <c r="T591" s="120">
        <f>SUM('Schedule F IslIntCos'!T50,-'Schedule F IslIntCos'!T48)/SUM('Schedule F IslIntCos'!$F50,-'Schedule F IslIntCos'!$F48)*$F591</f>
        <v>2.2162061997238521E-3</v>
      </c>
      <c r="U591" s="120">
        <f>SUM('Schedule F IslIntCos'!U50,-'Schedule F IslIntCos'!U48)/SUM('Schedule F IslIntCos'!$F50,-'Schedule F IslIntCos'!$F48)*$F591</f>
        <v>0</v>
      </c>
      <c r="V591" s="126">
        <f>SUM('Schedule F IslIntCos'!V50,-'Schedule F IslIntCos'!V48)/SUM('Schedule F IslIntCos'!$F50,-'Schedule F IslIntCos'!$F48)*$F591</f>
        <v>0</v>
      </c>
    </row>
    <row r="592" spans="1:26" ht="16.5" x14ac:dyDescent="0.3">
      <c r="A592" s="19"/>
      <c r="B592" s="19"/>
      <c r="C592" s="118"/>
      <c r="E592" s="120" t="s">
        <v>23</v>
      </c>
      <c r="F592" s="120">
        <v>6.8190220330487964E-3</v>
      </c>
      <c r="S592" s="130">
        <f>+F592</f>
        <v>6.8190220330487964E-3</v>
      </c>
      <c r="V592" s="125"/>
    </row>
    <row r="593" spans="1:26" ht="16.5" x14ac:dyDescent="0.3">
      <c r="A593" s="19"/>
      <c r="B593" s="19"/>
      <c r="C593" s="118"/>
      <c r="E593" s="120" t="s">
        <v>318</v>
      </c>
      <c r="F593" s="120">
        <v>0</v>
      </c>
      <c r="V593" s="126">
        <f>+F593</f>
        <v>0</v>
      </c>
    </row>
    <row r="594" spans="1:26" ht="16.5" x14ac:dyDescent="0.3">
      <c r="A594" s="28">
        <f>(SUM(G594:AF594)-1)*1000</f>
        <v>-2.2204460492503131E-13</v>
      </c>
      <c r="B594" s="28"/>
      <c r="C594" s="118" t="s">
        <v>321</v>
      </c>
      <c r="E594" s="127" t="s">
        <v>15</v>
      </c>
      <c r="F594" s="128">
        <f>SUM(F583:F593)</f>
        <v>0.99999999999999978</v>
      </c>
      <c r="G594" s="128">
        <f>SUM(G583:G593)</f>
        <v>0.55258705964365507</v>
      </c>
      <c r="H594" s="128">
        <f>SUM(H583:H593)</f>
        <v>0.21132733638328904</v>
      </c>
      <c r="I594" s="128">
        <f>SUM(I583:I593)</f>
        <v>8.7571533030598739E-2</v>
      </c>
      <c r="J594" s="128">
        <f t="shared" ref="J594:V594" si="206">SUM(J583:J593)</f>
        <v>8.6106786514582642E-3</v>
      </c>
      <c r="K594" s="128">
        <f t="shared" si="206"/>
        <v>2.4126680893703983E-2</v>
      </c>
      <c r="L594" s="128">
        <f t="shared" si="206"/>
        <v>5.3943529996140167E-2</v>
      </c>
      <c r="M594" s="128">
        <f t="shared" si="206"/>
        <v>1.4716703485459184E-2</v>
      </c>
      <c r="N594" s="128">
        <f t="shared" si="206"/>
        <v>4.4982607576046539E-3</v>
      </c>
      <c r="O594" s="128">
        <f t="shared" si="206"/>
        <v>7.9622953576436954E-3</v>
      </c>
      <c r="P594" s="128">
        <f t="shared" si="206"/>
        <v>7.7935614863536362E-3</v>
      </c>
      <c r="Q594" s="128">
        <f t="shared" si="206"/>
        <v>8.8444062978791701E-3</v>
      </c>
      <c r="R594" s="128">
        <f t="shared" si="206"/>
        <v>2.5972987337892464E-3</v>
      </c>
      <c r="S594" s="128">
        <f t="shared" si="206"/>
        <v>6.8190220330487964E-3</v>
      </c>
      <c r="T594" s="128">
        <f t="shared" si="206"/>
        <v>2.2162061997238521E-3</v>
      </c>
      <c r="U594" s="128">
        <f t="shared" si="206"/>
        <v>0</v>
      </c>
      <c r="V594" s="129">
        <f t="shared" si="206"/>
        <v>6.3854270496522423E-3</v>
      </c>
    </row>
    <row r="595" spans="1:26" ht="13.5" x14ac:dyDescent="0.25">
      <c r="A595" s="19"/>
      <c r="B595" s="19"/>
      <c r="C595" s="118"/>
      <c r="V595" s="125"/>
    </row>
    <row r="596" spans="1:26" ht="16.5" x14ac:dyDescent="0.3">
      <c r="A596" s="28">
        <f>(SUM(G596:AF596)-1)*1000</f>
        <v>0</v>
      </c>
      <c r="B596" s="28"/>
      <c r="C596" s="118" t="s">
        <v>144</v>
      </c>
      <c r="E596" s="120" t="s">
        <v>322</v>
      </c>
      <c r="F596" s="120">
        <f>SUM(G596:V596)</f>
        <v>1</v>
      </c>
      <c r="G596" s="120">
        <f>SUM('Schedule F IslIntCos'!G50,-'Schedule F IslIntCos'!G48)/SUM('Schedule F IslIntCos'!$F50,-'Schedule F IslIntCos'!$F48)</f>
        <v>0</v>
      </c>
      <c r="H596" s="120">
        <f>SUM('Schedule F IslIntCos'!H50,-'Schedule F IslIntCos'!H48)/SUM('Schedule F IslIntCos'!$F50,-'Schedule F IslIntCos'!$F48)</f>
        <v>0</v>
      </c>
      <c r="I596" s="120">
        <f>SUM('Schedule F IslIntCos'!I50,-'Schedule F IslIntCos'!I48)/SUM('Schedule F IslIntCos'!$F50,-'Schedule F IslIntCos'!$F48)</f>
        <v>0</v>
      </c>
      <c r="J596" s="120">
        <f>SUM('Schedule F IslIntCos'!J50,-'Schedule F IslIntCos'!J48)/SUM('Schedule F IslIntCos'!$F50,-'Schedule F IslIntCos'!$F48)</f>
        <v>0</v>
      </c>
      <c r="K596" s="120">
        <f>SUM('Schedule F IslIntCos'!K50,-'Schedule F IslIntCos'!K48)/SUM('Schedule F IslIntCos'!$F50,-'Schedule F IslIntCos'!$F48)</f>
        <v>0.15473496010884102</v>
      </c>
      <c r="L596" s="120">
        <f>SUM('Schedule F IslIntCos'!L50,-'Schedule F IslIntCos'!L48)/SUM('Schedule F IslIntCos'!$F50,-'Schedule F IslIntCos'!$F48)</f>
        <v>0.44453128950408305</v>
      </c>
      <c r="M596" s="120">
        <f>SUM('Schedule F IslIntCos'!M50,-'Schedule F IslIntCos'!M48)/SUM('Schedule F IslIntCos'!$F50,-'Schedule F IslIntCos'!$F48)</f>
        <v>0.1212756224538607</v>
      </c>
      <c r="N596" s="120">
        <f>SUM('Schedule F IslIntCos'!N50,-'Schedule F IslIntCos'!N48)/SUM('Schedule F IslIntCos'!$F50,-'Schedule F IslIntCos'!$F48)</f>
        <v>3.706872085024264E-2</v>
      </c>
      <c r="O596" s="120">
        <f>SUM('Schedule F IslIntCos'!O50,-'Schedule F IslIntCos'!O48)/SUM('Schedule F IslIntCos'!$F50,-'Schedule F IslIntCos'!$F48)</f>
        <v>6.5614716408047224E-2</v>
      </c>
      <c r="P596" s="120">
        <f>SUM('Schedule F IslIntCos'!P50,-'Schedule F IslIntCos'!P48)/SUM('Schedule F IslIntCos'!$F50,-'Schedule F IslIntCos'!$F48)</f>
        <v>6.4224234817521861E-2</v>
      </c>
      <c r="Q596" s="120">
        <f>SUM('Schedule F IslIntCos'!Q50,-'Schedule F IslIntCos'!Q48)/SUM('Schedule F IslIntCos'!$F50,-'Schedule F IslIntCos'!$F48)</f>
        <v>7.288390909485494E-2</v>
      </c>
      <c r="R596" s="120">
        <f>SUM('Schedule F IslIntCos'!R50,-'Schedule F IslIntCos'!R48)/SUM('Schedule F IslIntCos'!$F50,-'Schedule F IslIntCos'!$F48)</f>
        <v>2.1403503913097081E-2</v>
      </c>
      <c r="S596" s="120">
        <f>SUM('Schedule F IslIntCos'!S50,-'Schedule F IslIntCos'!S48)/SUM('Schedule F IslIntCos'!$F50,-'Schedule F IslIntCos'!$F48)</f>
        <v>0</v>
      </c>
      <c r="T596" s="120">
        <f>SUM('Schedule F IslIntCos'!T50,-'Schedule F IslIntCos'!T48)/SUM('Schedule F IslIntCos'!$F50,-'Schedule F IslIntCos'!$F48)</f>
        <v>1.8263042849451634E-2</v>
      </c>
      <c r="U596" s="120">
        <f>SUM('Schedule F IslIntCos'!U50,-'Schedule F IslIntCos'!U48)/SUM('Schedule F IslIntCos'!$F50,-'Schedule F IslIntCos'!$F48)</f>
        <v>0</v>
      </c>
      <c r="V596" s="126">
        <f>SUM('Schedule F IslIntCos'!V50,-'Schedule F IslIntCos'!V48)/SUM('Schedule F IslIntCos'!$F50,-'Schedule F IslIntCos'!$F48)</f>
        <v>0</v>
      </c>
    </row>
    <row r="597" spans="1:26" ht="13.5" x14ac:dyDescent="0.25">
      <c r="A597" s="19"/>
      <c r="B597" s="19"/>
      <c r="C597" s="118"/>
      <c r="V597" s="125"/>
    </row>
    <row r="598" spans="1:26" ht="14.25" thickBot="1" x14ac:dyDescent="0.3">
      <c r="A598" s="19"/>
      <c r="B598" s="19"/>
      <c r="C598" s="131" t="s">
        <v>323</v>
      </c>
      <c r="D598" s="132"/>
      <c r="E598" s="132"/>
      <c r="F598" s="132"/>
      <c r="G598" s="132"/>
      <c r="H598" s="132"/>
      <c r="I598" s="132"/>
      <c r="J598" s="132"/>
      <c r="K598" s="132"/>
      <c r="L598" s="132"/>
      <c r="M598" s="132"/>
      <c r="N598" s="132"/>
      <c r="O598" s="132"/>
      <c r="P598" s="132"/>
      <c r="Q598" s="132"/>
      <c r="R598" s="132"/>
      <c r="S598" s="132"/>
      <c r="T598" s="132"/>
      <c r="U598" s="132"/>
      <c r="V598" s="133"/>
    </row>
    <row r="606" spans="1:26" x14ac:dyDescent="0.2">
      <c r="Z606" s="1"/>
    </row>
    <row r="623" spans="6:14" ht="15" x14ac:dyDescent="0.25">
      <c r="F623" s="134"/>
      <c r="G623" s="134"/>
      <c r="H623" s="134"/>
      <c r="I623" s="134"/>
      <c r="J623" s="134"/>
      <c r="K623" s="135"/>
      <c r="L623" s="135"/>
      <c r="M623" s="135"/>
      <c r="N623" s="135"/>
    </row>
    <row r="624" spans="6:14" ht="15" x14ac:dyDescent="0.25">
      <c r="F624" s="134"/>
      <c r="G624" s="136"/>
      <c r="H624" s="136"/>
      <c r="I624" s="134"/>
      <c r="J624" s="134"/>
      <c r="K624" s="135"/>
      <c r="L624" s="137"/>
      <c r="M624" s="137"/>
      <c r="N624" s="135"/>
    </row>
    <row r="625" spans="6:26" ht="15" x14ac:dyDescent="0.25">
      <c r="F625" s="134"/>
      <c r="G625" s="138"/>
      <c r="H625" s="138"/>
      <c r="I625" s="139"/>
      <c r="J625" s="140"/>
      <c r="K625" s="135"/>
      <c r="L625" s="138"/>
      <c r="M625" s="138"/>
      <c r="N625" s="139"/>
      <c r="O625" s="141"/>
    </row>
    <row r="626" spans="6:26" ht="15" x14ac:dyDescent="0.25">
      <c r="F626" s="134"/>
      <c r="G626" s="134"/>
      <c r="H626" s="134"/>
      <c r="I626" s="139"/>
      <c r="J626" s="134"/>
      <c r="K626" s="135"/>
      <c r="L626" s="135"/>
      <c r="M626" s="135"/>
      <c r="N626" s="139"/>
      <c r="O626" s="141"/>
    </row>
    <row r="627" spans="6:26" ht="15" x14ac:dyDescent="0.25">
      <c r="F627" s="134"/>
      <c r="G627" s="142"/>
      <c r="H627" s="134"/>
      <c r="I627" s="139"/>
      <c r="J627" s="140"/>
      <c r="K627" s="135"/>
      <c r="L627" s="143"/>
      <c r="M627" s="143"/>
      <c r="N627" s="139"/>
      <c r="O627" s="141"/>
    </row>
    <row r="628" spans="6:26" ht="15" x14ac:dyDescent="0.25">
      <c r="F628" s="134"/>
      <c r="G628" s="134"/>
      <c r="H628" s="134"/>
      <c r="I628" s="134"/>
      <c r="J628" s="134"/>
      <c r="K628" s="135"/>
      <c r="L628" s="135"/>
      <c r="M628" s="135"/>
      <c r="N628" s="135"/>
    </row>
    <row r="629" spans="6:26" ht="15" x14ac:dyDescent="0.25">
      <c r="F629" s="134"/>
      <c r="G629" s="134"/>
      <c r="H629" s="134"/>
      <c r="I629" s="144"/>
      <c r="J629" s="145"/>
      <c r="K629" s="135"/>
      <c r="L629" s="135"/>
      <c r="M629" s="135"/>
      <c r="N629" s="146"/>
    </row>
    <row r="630" spans="6:26" ht="15" x14ac:dyDescent="0.25">
      <c r="F630" s="134"/>
      <c r="G630" s="134"/>
      <c r="H630" s="134"/>
      <c r="I630" s="134"/>
      <c r="J630" s="134"/>
      <c r="K630" s="135"/>
      <c r="L630" s="135"/>
      <c r="M630" s="135"/>
      <c r="N630" s="135"/>
    </row>
    <row r="631" spans="6:26" ht="15" x14ac:dyDescent="0.25">
      <c r="F631" s="134"/>
      <c r="G631" s="134"/>
      <c r="H631" s="134"/>
      <c r="I631" s="134"/>
      <c r="J631" s="134"/>
      <c r="K631" s="135"/>
      <c r="L631" s="135"/>
      <c r="M631" s="135"/>
      <c r="N631" s="135"/>
    </row>
    <row r="632" spans="6:26" ht="15" x14ac:dyDescent="0.25">
      <c r="F632" s="134"/>
      <c r="G632" s="138"/>
      <c r="H632" s="138"/>
      <c r="I632" s="139"/>
      <c r="J632" s="140"/>
      <c r="K632" s="135"/>
      <c r="L632" s="138"/>
      <c r="M632" s="138"/>
      <c r="N632" s="147"/>
    </row>
    <row r="633" spans="6:26" ht="15" x14ac:dyDescent="0.25">
      <c r="F633" s="134"/>
      <c r="G633" s="134"/>
      <c r="H633" s="134"/>
      <c r="I633" s="134"/>
      <c r="J633" s="134"/>
      <c r="K633" s="135"/>
      <c r="L633" s="135"/>
      <c r="M633" s="135"/>
      <c r="N633" s="147"/>
    </row>
    <row r="634" spans="6:26" ht="15" x14ac:dyDescent="0.25">
      <c r="F634" s="134"/>
      <c r="G634" s="142"/>
      <c r="H634" s="134"/>
      <c r="I634" s="139"/>
      <c r="J634" s="140"/>
      <c r="K634" s="135"/>
      <c r="L634" s="135"/>
      <c r="M634" s="135"/>
      <c r="N634" s="147"/>
      <c r="Z634" s="1"/>
    </row>
    <row r="635" spans="6:26" ht="15" x14ac:dyDescent="0.25">
      <c r="F635" s="134"/>
      <c r="G635" s="134"/>
      <c r="H635" s="134"/>
      <c r="I635" s="134"/>
      <c r="J635" s="134"/>
      <c r="K635" s="135"/>
      <c r="L635" s="135"/>
      <c r="M635" s="135"/>
      <c r="N635" s="135"/>
    </row>
    <row r="636" spans="6:26" ht="15" x14ac:dyDescent="0.25">
      <c r="F636" s="134"/>
      <c r="G636" s="134"/>
      <c r="H636" s="134"/>
      <c r="I636" s="144"/>
      <c r="J636" s="148"/>
      <c r="K636" s="135"/>
      <c r="L636" s="135"/>
      <c r="M636" s="135"/>
      <c r="N636" s="146"/>
    </row>
    <row r="638" spans="6:26" x14ac:dyDescent="0.2">
      <c r="H638" s="149"/>
      <c r="M638" s="149"/>
    </row>
    <row r="639" spans="6:26" x14ac:dyDescent="0.2">
      <c r="I639" s="149"/>
    </row>
    <row r="641" spans="8:9" x14ac:dyDescent="0.2">
      <c r="H641" s="149"/>
      <c r="I641" s="149"/>
    </row>
    <row r="643" spans="8:9" ht="15" x14ac:dyDescent="0.25">
      <c r="I643" s="144"/>
    </row>
    <row r="661" spans="26:26" x14ac:dyDescent="0.2">
      <c r="Z661" s="1"/>
    </row>
    <row r="689" spans="26:26" x14ac:dyDescent="0.2">
      <c r="Z689" s="1"/>
    </row>
    <row r="717" spans="26:26" x14ac:dyDescent="0.2">
      <c r="Z717" s="1"/>
    </row>
    <row r="745" spans="26:26" x14ac:dyDescent="0.2">
      <c r="Z745" s="1"/>
    </row>
    <row r="773" spans="26:26" x14ac:dyDescent="0.2">
      <c r="Z773" s="1"/>
    </row>
    <row r="801" spans="26:26" x14ac:dyDescent="0.2">
      <c r="Z801" s="1"/>
    </row>
    <row r="829" spans="26:26" x14ac:dyDescent="0.2">
      <c r="Z829" s="1"/>
    </row>
    <row r="857" spans="26:26" x14ac:dyDescent="0.2">
      <c r="Z857" s="1"/>
    </row>
    <row r="885" spans="26:26" x14ac:dyDescent="0.2">
      <c r="Z885" s="1"/>
    </row>
  </sheetData>
  <scenarios current="0">
    <scenario name="sch2.2.1Ap1" locked="1" count="1" user="Newfoundland &amp; Labrador Hydro" comment="Created by Newfoundland &amp; Labrador Hydro on 07/18/2000">
      <inputCells r="AI4" val="Page 1 of 2"/>
    </scenario>
    <scenario name="sch2.2.1Ap2" locked="1" count="1" user="Newfoundland &amp; Labrador Hydro" comment="Created by Newfoundland &amp; Labrador Hydro on 07/18/2000">
      <inputCells r="AI4" val="Page 2 of 2"/>
    </scenario>
    <scenario name="sch2.3Ap1" locked="1" count="1" user="Newfoundland &amp; Labrador Hydro" comment="Created by Newfoundland &amp; Labrador Hydro on 07/18/2000_x000a_Modified by Newfoundland &amp; Labrador Hydro on 07/18/2000">
      <inputCells r="V62" val=" Page 1 of 2 "/>
    </scenario>
    <scenario name="sch2.3Ap2" locked="1" count="1" user="Newfoundland &amp; Labrador Hydro" comment="Created by Newfoundland &amp; Labrador Hydro on 07/18/2000">
      <inputCells r="V62" val=" Page 2 of 2 "/>
    </scenario>
    <scenario name="sch2.2Ap1" locked="1" count="1" user="Newfoundland &amp; Labrador Hydro" comment="Created by Newfoundland &amp; Labrador Hydro on 07/18/2000">
      <inputCells r="V4" val="Page 1 of 2"/>
    </scenario>
    <scenario name="sch2.2Ap2" locked="1" count="1" user="Newfoundland &amp; Labrador Hydro" comment="Created by Newfoundland &amp; Labrador Hydro on 07/18/2000">
      <inputCells r="V4" val="Page 2 of 2"/>
    </scenario>
  </scenarios>
  <mergeCells count="3">
    <mergeCell ref="AE206:AF206"/>
    <mergeCell ref="AE207:AF207"/>
    <mergeCell ref="G516:H516"/>
  </mergeCells>
  <pageMargins left="0.34" right="0.23" top="0.63" bottom="0.76" header="0.94" footer="0.52"/>
  <pageSetup scale="55" firstPageNumber="39" fitToWidth="0" fitToHeight="0" orientation="landscape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C93DE-258A-4778-A569-E698D10A6880}">
  <sheetPr codeName="Sheet20"/>
  <dimension ref="A1:AP885"/>
  <sheetViews>
    <sheetView topLeftCell="C541" zoomScaleNormal="90" workbookViewId="0">
      <selection activeCell="E567" sqref="E567"/>
    </sheetView>
  </sheetViews>
  <sheetFormatPr defaultColWidth="9.140625" defaultRowHeight="12.75" x14ac:dyDescent="0.2"/>
  <cols>
    <col min="1" max="2" width="0" style="5" hidden="1" customWidth="1"/>
    <col min="3" max="3" width="13.140625" style="5" customWidth="1"/>
    <col min="4" max="4" width="4.42578125" style="5" bestFit="1" customWidth="1"/>
    <col min="5" max="5" width="26.140625" style="5" customWidth="1"/>
    <col min="6" max="6" width="13.28515625" style="5" customWidth="1"/>
    <col min="7" max="7" width="13.140625" style="5" customWidth="1"/>
    <col min="8" max="8" width="13.28515625" style="5" customWidth="1"/>
    <col min="9" max="9" width="13.5703125" style="5" customWidth="1"/>
    <col min="10" max="10" width="12.7109375" style="5" customWidth="1"/>
    <col min="11" max="11" width="11.85546875" style="5" customWidth="1"/>
    <col min="12" max="12" width="13" style="5" customWidth="1"/>
    <col min="13" max="13" width="11.7109375" style="5" customWidth="1"/>
    <col min="14" max="14" width="11.42578125" style="5" customWidth="1"/>
    <col min="15" max="15" width="12.140625" style="5" customWidth="1"/>
    <col min="16" max="17" width="11.7109375" style="5" customWidth="1"/>
    <col min="18" max="18" width="11" style="5" customWidth="1"/>
    <col min="19" max="19" width="11.42578125" style="5" customWidth="1"/>
    <col min="20" max="20" width="11.28515625" style="5" customWidth="1"/>
    <col min="21" max="21" width="10.7109375" style="5" customWidth="1"/>
    <col min="22" max="22" width="13.5703125" style="5" bestFit="1" customWidth="1"/>
    <col min="23" max="23" width="14.42578125" style="5" bestFit="1" customWidth="1"/>
    <col min="24" max="24" width="11" style="5" bestFit="1" customWidth="1"/>
    <col min="25" max="25" width="9.140625" style="5"/>
    <col min="26" max="27" width="6" style="5" customWidth="1"/>
    <col min="28" max="28" width="4.140625" style="5" customWidth="1"/>
    <col min="29" max="29" width="28.85546875" style="5" customWidth="1"/>
    <col min="30" max="30" width="2.7109375" style="5" customWidth="1"/>
    <col min="31" max="31" width="17.140625" style="5" customWidth="1"/>
    <col min="32" max="32" width="16.28515625" style="5" customWidth="1"/>
    <col min="33" max="33" width="1.7109375" style="5" customWidth="1"/>
    <col min="34" max="34" width="12.7109375" style="5" customWidth="1"/>
    <col min="35" max="35" width="68.7109375" style="5" customWidth="1"/>
    <col min="36" max="16384" width="9.140625" style="5"/>
  </cols>
  <sheetData>
    <row r="1" spans="1:42" s="2" customFormat="1" ht="23.25" customHeight="1" x14ac:dyDescent="0.2">
      <c r="A1" s="1">
        <v>1</v>
      </c>
      <c r="B1" s="1" t="s">
        <v>0</v>
      </c>
      <c r="C1" s="1"/>
      <c r="E1" s="3"/>
      <c r="F1" s="4"/>
    </row>
    <row r="2" spans="1:42" s="2" customFormat="1" ht="15.75" customHeight="1" x14ac:dyDescent="0.2">
      <c r="A2" s="4">
        <v>8</v>
      </c>
      <c r="B2" s="2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42" ht="16.5" x14ac:dyDescent="0.3">
      <c r="A3" s="5">
        <v>6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 t="s">
        <v>486</v>
      </c>
      <c r="X3" s="6"/>
      <c r="Y3" s="6"/>
      <c r="Z3" s="6"/>
      <c r="AA3" s="6"/>
      <c r="AB3" s="6"/>
      <c r="AC3" s="6"/>
      <c r="AD3" s="6"/>
      <c r="AE3" s="6"/>
      <c r="AF3" s="6"/>
      <c r="AG3" s="6"/>
      <c r="AH3" s="7"/>
      <c r="AI3" s="7" t="s">
        <v>486</v>
      </c>
    </row>
    <row r="4" spans="1:42" ht="16.5" x14ac:dyDescent="0.3"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7" t="s">
        <v>3</v>
      </c>
      <c r="X4" s="6"/>
      <c r="Y4" s="6"/>
      <c r="Z4" s="6"/>
      <c r="AA4" s="6"/>
      <c r="AB4" s="6"/>
      <c r="AC4" s="6"/>
      <c r="AD4" s="6"/>
      <c r="AE4" s="6"/>
      <c r="AF4" s="6"/>
      <c r="AG4" s="6"/>
      <c r="AH4" s="7"/>
      <c r="AI4" s="7" t="s">
        <v>4</v>
      </c>
    </row>
    <row r="5" spans="1:42" ht="16.5" x14ac:dyDescent="0.3">
      <c r="D5" s="8" t="s">
        <v>5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10"/>
      <c r="X5" s="6"/>
      <c r="Y5" s="6"/>
      <c r="AA5" s="9" t="s">
        <v>6</v>
      </c>
      <c r="AB5" s="9"/>
      <c r="AC5" s="9"/>
      <c r="AD5" s="9"/>
      <c r="AE5" s="9"/>
      <c r="AF5" s="9"/>
      <c r="AG5" s="9"/>
      <c r="AH5" s="11"/>
      <c r="AI5" s="11"/>
    </row>
    <row r="6" spans="1:42" ht="16.5" x14ac:dyDescent="0.3">
      <c r="D6" s="8" t="str">
        <f>RunName</f>
        <v>2027 Test Year Cost of Service Study (No Rate Mitigation)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/>
      <c r="X6" s="6"/>
      <c r="Y6" s="6"/>
      <c r="AA6" s="9" t="str">
        <f>RunName</f>
        <v>2027 Test Year Cost of Service Study (No Rate Mitigation)</v>
      </c>
      <c r="AB6" s="9"/>
      <c r="AC6" s="9"/>
      <c r="AD6" s="9"/>
      <c r="AE6" s="9"/>
      <c r="AF6" s="9"/>
      <c r="AG6" s="9"/>
      <c r="AH6" s="11"/>
      <c r="AI6" s="11"/>
    </row>
    <row r="7" spans="1:42" ht="16.5" x14ac:dyDescent="0.3">
      <c r="D7" s="8" t="str">
        <f>$B$1</f>
        <v>Island Interconnected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10"/>
      <c r="X7" s="6"/>
      <c r="Y7" s="6"/>
      <c r="AA7" s="9" t="str">
        <f>$B$1</f>
        <v>Island Interconnected</v>
      </c>
      <c r="AB7" s="9"/>
      <c r="AC7" s="9"/>
      <c r="AD7" s="9"/>
      <c r="AE7" s="9"/>
      <c r="AF7" s="9"/>
      <c r="AG7" s="9"/>
      <c r="AH7" s="11"/>
      <c r="AI7" s="11"/>
    </row>
    <row r="8" spans="1:42" ht="16.5" x14ac:dyDescent="0.3">
      <c r="D8" s="8" t="s">
        <v>7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10"/>
      <c r="X8" s="6"/>
      <c r="Y8" s="6"/>
      <c r="AA8" s="9" t="str">
        <f>+D8&amp;" (CONT'D.)"</f>
        <v>Functional Classification of Plant in Service for the Allocation of O&amp;M Expense (CONT'D.)</v>
      </c>
      <c r="AB8" s="9"/>
      <c r="AC8" s="9"/>
      <c r="AD8" s="9"/>
      <c r="AE8" s="9"/>
      <c r="AF8" s="9"/>
      <c r="AG8" s="9"/>
      <c r="AH8" s="11"/>
      <c r="AI8" s="11"/>
    </row>
    <row r="9" spans="1:42" ht="17.25" customHeight="1" x14ac:dyDescent="0.3">
      <c r="D9" s="6"/>
      <c r="E9" s="1">
        <f t="shared" ref="E9:V9" si="0">MAX(D9)+NoOne</f>
        <v>1</v>
      </c>
      <c r="F9" s="1">
        <f t="shared" si="0"/>
        <v>2</v>
      </c>
      <c r="G9" s="1">
        <f t="shared" si="0"/>
        <v>3</v>
      </c>
      <c r="H9" s="1">
        <f t="shared" si="0"/>
        <v>4</v>
      </c>
      <c r="I9" s="1">
        <f t="shared" si="0"/>
        <v>5</v>
      </c>
      <c r="J9" s="1">
        <f t="shared" si="0"/>
        <v>6</v>
      </c>
      <c r="K9" s="1">
        <f t="shared" si="0"/>
        <v>7</v>
      </c>
      <c r="L9" s="1">
        <f t="shared" si="0"/>
        <v>8</v>
      </c>
      <c r="M9" s="1">
        <f t="shared" si="0"/>
        <v>9</v>
      </c>
      <c r="N9" s="1">
        <f t="shared" si="0"/>
        <v>10</v>
      </c>
      <c r="O9" s="1">
        <f t="shared" si="0"/>
        <v>11</v>
      </c>
      <c r="P9" s="1">
        <f t="shared" si="0"/>
        <v>12</v>
      </c>
      <c r="Q9" s="1">
        <f t="shared" si="0"/>
        <v>13</v>
      </c>
      <c r="R9" s="1">
        <f t="shared" si="0"/>
        <v>14</v>
      </c>
      <c r="S9" s="1">
        <f t="shared" si="0"/>
        <v>15</v>
      </c>
      <c r="T9" s="1">
        <f t="shared" si="0"/>
        <v>16</v>
      </c>
      <c r="U9" s="1">
        <f t="shared" si="0"/>
        <v>17</v>
      </c>
      <c r="V9" s="1">
        <f t="shared" si="0"/>
        <v>18</v>
      </c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42" s="12" customFormat="1" ht="16.5" x14ac:dyDescent="0.3">
      <c r="D10" s="13"/>
      <c r="E10" s="13"/>
      <c r="F10" s="13"/>
      <c r="G10" s="13"/>
      <c r="H10" s="13"/>
      <c r="I10" s="13"/>
      <c r="J10" s="13" t="s">
        <v>8</v>
      </c>
      <c r="K10" s="14" t="s">
        <v>9</v>
      </c>
      <c r="L10" s="14"/>
      <c r="M10" s="14"/>
      <c r="N10" s="14"/>
      <c r="O10" s="14"/>
      <c r="P10" s="14"/>
      <c r="Q10" s="14"/>
      <c r="R10" s="14"/>
      <c r="S10" s="14"/>
      <c r="T10" s="14"/>
      <c r="U10" s="6"/>
      <c r="V10" s="13" t="s">
        <v>10</v>
      </c>
      <c r="X10" s="13"/>
      <c r="Y10" s="13"/>
      <c r="Z10" s="13"/>
      <c r="AA10" s="13"/>
      <c r="AB10" s="13"/>
      <c r="AC10" s="1">
        <f>MAX(AB10)+NoOne</f>
        <v>1</v>
      </c>
      <c r="AD10" s="13"/>
      <c r="AE10" s="1">
        <f>MAX(V9)+NoOne</f>
        <v>19</v>
      </c>
      <c r="AF10" s="13"/>
      <c r="AG10" s="13"/>
      <c r="AH10" s="13"/>
      <c r="AI10" s="13"/>
    </row>
    <row r="11" spans="1:42" s="12" customFormat="1" ht="16.5" x14ac:dyDescent="0.3">
      <c r="A11" s="15" t="s">
        <v>11</v>
      </c>
      <c r="B11" s="15" t="s">
        <v>12</v>
      </c>
      <c r="C11" s="15" t="s">
        <v>13</v>
      </c>
      <c r="D11" s="1" t="s">
        <v>14</v>
      </c>
      <c r="E11" s="1"/>
      <c r="F11" s="1" t="s">
        <v>15</v>
      </c>
      <c r="G11" s="13" t="s">
        <v>16</v>
      </c>
      <c r="H11" s="1" t="s">
        <v>16</v>
      </c>
      <c r="I11" s="1" t="s">
        <v>17</v>
      </c>
      <c r="J11" s="1" t="s">
        <v>17</v>
      </c>
      <c r="K11" s="1" t="s">
        <v>18</v>
      </c>
      <c r="L11" s="1" t="s">
        <v>19</v>
      </c>
      <c r="M11" s="1"/>
      <c r="N11" s="1" t="s">
        <v>20</v>
      </c>
      <c r="O11" s="1"/>
      <c r="P11" s="1" t="s">
        <v>21</v>
      </c>
      <c r="Q11" s="1"/>
      <c r="R11" s="1" t="s">
        <v>22</v>
      </c>
      <c r="S11" s="1" t="s">
        <v>23</v>
      </c>
      <c r="T11" s="1" t="s">
        <v>24</v>
      </c>
      <c r="U11" s="1" t="s">
        <v>25</v>
      </c>
      <c r="V11" s="1" t="s">
        <v>26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s="12" customFormat="1" ht="16.5" x14ac:dyDescent="0.3">
      <c r="A12" s="15" t="s">
        <v>27</v>
      </c>
      <c r="B12" s="15" t="s">
        <v>28</v>
      </c>
      <c r="C12" s="15" t="s">
        <v>29</v>
      </c>
      <c r="D12" s="1" t="s">
        <v>30</v>
      </c>
      <c r="E12" s="13" t="s">
        <v>31</v>
      </c>
      <c r="F12" s="13" t="s">
        <v>32</v>
      </c>
      <c r="G12" s="13" t="s">
        <v>33</v>
      </c>
      <c r="H12" s="13" t="s">
        <v>34</v>
      </c>
      <c r="I12" s="13" t="s">
        <v>33</v>
      </c>
      <c r="J12" s="13" t="s">
        <v>33</v>
      </c>
      <c r="K12" s="13" t="s">
        <v>33</v>
      </c>
      <c r="L12" s="13" t="s">
        <v>33</v>
      </c>
      <c r="M12" s="13" t="s">
        <v>35</v>
      </c>
      <c r="N12" s="13" t="s">
        <v>33</v>
      </c>
      <c r="O12" s="13" t="s">
        <v>35</v>
      </c>
      <c r="P12" s="13" t="s">
        <v>33</v>
      </c>
      <c r="Q12" s="13" t="s">
        <v>35</v>
      </c>
      <c r="R12" s="13" t="s">
        <v>35</v>
      </c>
      <c r="S12" s="13" t="s">
        <v>35</v>
      </c>
      <c r="T12" s="13" t="s">
        <v>35</v>
      </c>
      <c r="U12" s="13" t="s">
        <v>35</v>
      </c>
      <c r="V12" s="13" t="s">
        <v>35</v>
      </c>
      <c r="X12" s="13"/>
      <c r="Y12" s="13"/>
      <c r="Z12" s="16"/>
      <c r="AA12" s="13"/>
      <c r="AB12" s="13"/>
      <c r="AC12" s="13" t="s">
        <v>31</v>
      </c>
      <c r="AD12" s="13"/>
      <c r="AE12" s="17" t="s">
        <v>36</v>
      </c>
      <c r="AF12" s="13"/>
      <c r="AG12" s="13"/>
      <c r="AH12" s="13"/>
      <c r="AI12" s="13"/>
    </row>
    <row r="13" spans="1:42" ht="17.25" customHeight="1" x14ac:dyDescent="0.3">
      <c r="A13" s="18">
        <f>ROUND(SUM(A14:A635),2)</f>
        <v>0</v>
      </c>
      <c r="B13" s="18"/>
      <c r="C13" s="19"/>
      <c r="D13" s="1"/>
      <c r="E13" s="20" t="s">
        <v>16</v>
      </c>
      <c r="F13" s="13" t="s">
        <v>37</v>
      </c>
      <c r="G13" s="13" t="s">
        <v>37</v>
      </c>
      <c r="H13" s="13" t="s">
        <v>37</v>
      </c>
      <c r="I13" s="13" t="s">
        <v>37</v>
      </c>
      <c r="J13" s="13" t="s">
        <v>37</v>
      </c>
      <c r="K13" s="13" t="s">
        <v>37</v>
      </c>
      <c r="L13" s="13" t="s">
        <v>37</v>
      </c>
      <c r="M13" s="13" t="s">
        <v>37</v>
      </c>
      <c r="N13" s="13" t="s">
        <v>37</v>
      </c>
      <c r="O13" s="13" t="s">
        <v>37</v>
      </c>
      <c r="P13" s="13" t="s">
        <v>37</v>
      </c>
      <c r="Q13" s="13" t="s">
        <v>37</v>
      </c>
      <c r="R13" s="13" t="s">
        <v>37</v>
      </c>
      <c r="S13" s="13" t="s">
        <v>37</v>
      </c>
      <c r="T13" s="13" t="s">
        <v>37</v>
      </c>
      <c r="U13" s="13" t="s">
        <v>37</v>
      </c>
      <c r="V13" s="13" t="s">
        <v>37</v>
      </c>
      <c r="X13" s="6"/>
      <c r="Y13" s="6"/>
      <c r="Z13" s="16"/>
      <c r="AA13" s="6"/>
      <c r="AB13" s="6"/>
      <c r="AC13" s="20" t="str">
        <f>IF(ISBLANK(E13),"",E13)</f>
        <v>Production</v>
      </c>
      <c r="AD13" s="6"/>
      <c r="AE13" s="6"/>
      <c r="AF13" s="6"/>
      <c r="AG13" s="6"/>
      <c r="AH13" s="6"/>
      <c r="AI13" s="6"/>
    </row>
    <row r="14" spans="1:42" ht="16.5" x14ac:dyDescent="0.3">
      <c r="A14" s="19"/>
      <c r="B14" s="19"/>
      <c r="C14" s="19"/>
      <c r="D14" s="1"/>
      <c r="E14" s="21" t="s">
        <v>38</v>
      </c>
      <c r="F14" s="22" t="s">
        <v>39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X14" s="6"/>
      <c r="Y14" s="6"/>
      <c r="Z14" s="16"/>
      <c r="AA14" s="6"/>
      <c r="AB14" s="6"/>
      <c r="AC14" s="21" t="str">
        <f t="shared" ref="AC14:AC58" si="1">IF(ISBLANK(E14),"",E14)</f>
        <v>Hydraulic</v>
      </c>
      <c r="AD14" s="6"/>
      <c r="AE14" s="6"/>
      <c r="AF14" s="6"/>
      <c r="AG14" s="6"/>
      <c r="AH14" s="6"/>
      <c r="AI14" s="6"/>
    </row>
    <row r="15" spans="1:42" ht="16.5" x14ac:dyDescent="0.3">
      <c r="A15" s="19"/>
      <c r="B15" s="19"/>
      <c r="C15" s="24" t="s">
        <v>40</v>
      </c>
      <c r="D15" s="1">
        <f t="shared" ref="D15:D29" si="2">MAX(D12:D14)+NoOne</f>
        <v>1</v>
      </c>
      <c r="E15" s="6" t="s">
        <v>41</v>
      </c>
      <c r="F15" s="22">
        <v>1114924927.3215888</v>
      </c>
      <c r="G15" s="23">
        <v>554259463.99380755</v>
      </c>
      <c r="H15" s="23">
        <v>560665463.3277812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3">
        <v>0</v>
      </c>
      <c r="X15" s="6"/>
      <c r="Y15" s="6"/>
      <c r="Z15" s="25"/>
      <c r="AA15" s="6"/>
      <c r="AB15" s="6"/>
      <c r="AC15" s="6" t="str">
        <f t="shared" si="1"/>
        <v>Bay D'Espoir</v>
      </c>
      <c r="AD15" s="6"/>
      <c r="AE15" s="6" t="s">
        <v>565</v>
      </c>
      <c r="AF15" s="6"/>
      <c r="AG15" s="6"/>
      <c r="AH15" s="6"/>
      <c r="AI15" s="6"/>
    </row>
    <row r="16" spans="1:42" ht="16.5" x14ac:dyDescent="0.3">
      <c r="A16" s="19"/>
      <c r="B16" s="19"/>
      <c r="C16" s="26" t="s">
        <v>42</v>
      </c>
      <c r="D16" s="1">
        <f t="shared" si="2"/>
        <v>2</v>
      </c>
      <c r="E16" s="6" t="s">
        <v>43</v>
      </c>
      <c r="F16" s="22">
        <v>700314.78</v>
      </c>
      <c r="G16" s="23">
        <v>348145.49847963132</v>
      </c>
      <c r="H16" s="23">
        <v>352169.28152036871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23">
        <v>0</v>
      </c>
      <c r="X16" s="6"/>
      <c r="Y16" s="6"/>
      <c r="Z16" s="25"/>
      <c r="AA16" s="6"/>
      <c r="AB16" s="6"/>
      <c r="AC16" s="6" t="str">
        <f t="shared" si="1"/>
        <v>Upper Salmon</v>
      </c>
      <c r="AD16" s="6"/>
      <c r="AE16" s="6" t="s">
        <v>565</v>
      </c>
      <c r="AF16" s="6"/>
      <c r="AG16" s="6"/>
      <c r="AH16" s="6"/>
      <c r="AI16" s="6"/>
    </row>
    <row r="17" spans="1:35" ht="16.5" x14ac:dyDescent="0.3">
      <c r="A17" s="19"/>
      <c r="B17" s="19"/>
      <c r="C17" s="24" t="s">
        <v>44</v>
      </c>
      <c r="D17" s="1">
        <f t="shared" si="2"/>
        <v>3</v>
      </c>
      <c r="E17" s="6" t="s">
        <v>45</v>
      </c>
      <c r="F17" s="22">
        <v>2313263.2000000002</v>
      </c>
      <c r="G17" s="23">
        <v>1149985.96756531</v>
      </c>
      <c r="H17" s="23">
        <v>1163277.2324346902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3">
        <v>0</v>
      </c>
      <c r="X17" s="6"/>
      <c r="Y17" s="6"/>
      <c r="Z17" s="25"/>
      <c r="AA17" s="6"/>
      <c r="AB17" s="6"/>
      <c r="AC17" s="6" t="str">
        <f t="shared" si="1"/>
        <v>Hinds Lake</v>
      </c>
      <c r="AD17" s="6"/>
      <c r="AE17" s="6" t="s">
        <v>565</v>
      </c>
      <c r="AF17" s="6"/>
      <c r="AG17" s="6"/>
      <c r="AH17" s="6"/>
      <c r="AI17" s="6"/>
    </row>
    <row r="18" spans="1:35" ht="16.5" x14ac:dyDescent="0.3">
      <c r="A18" s="19"/>
      <c r="B18" s="19"/>
      <c r="C18" s="24" t="s">
        <v>46</v>
      </c>
      <c r="D18" s="1">
        <f t="shared" si="2"/>
        <v>4</v>
      </c>
      <c r="E18" s="6" t="s">
        <v>47</v>
      </c>
      <c r="F18" s="22">
        <v>1149439.01</v>
      </c>
      <c r="G18" s="23">
        <v>571417.3519347742</v>
      </c>
      <c r="H18" s="23">
        <v>578021.65806522581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23">
        <v>0</v>
      </c>
      <c r="X18" s="6"/>
      <c r="Y18" s="6"/>
      <c r="Z18" s="25"/>
      <c r="AA18" s="6"/>
      <c r="AB18" s="6"/>
      <c r="AC18" s="6" t="str">
        <f t="shared" si="1"/>
        <v>Cat Arm</v>
      </c>
      <c r="AD18" s="6"/>
      <c r="AE18" s="6" t="s">
        <v>565</v>
      </c>
      <c r="AF18" s="6"/>
      <c r="AG18" s="6"/>
      <c r="AH18" s="6"/>
      <c r="AI18" s="6"/>
    </row>
    <row r="19" spans="1:35" ht="16.5" x14ac:dyDescent="0.3">
      <c r="A19" s="19"/>
      <c r="B19" s="19"/>
      <c r="C19" s="24" t="s">
        <v>48</v>
      </c>
      <c r="D19" s="1">
        <f t="shared" si="2"/>
        <v>5</v>
      </c>
      <c r="E19" s="6" t="s">
        <v>49</v>
      </c>
      <c r="F19" s="22">
        <v>219265.38</v>
      </c>
      <c r="G19" s="23">
        <v>109002.77589375708</v>
      </c>
      <c r="H19" s="23">
        <v>110262.60410624293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3">
        <v>0</v>
      </c>
      <c r="X19" s="6"/>
      <c r="Y19" s="6"/>
      <c r="Z19" s="25"/>
      <c r="AA19" s="6"/>
      <c r="AB19" s="6"/>
      <c r="AC19" s="6" t="str">
        <f t="shared" si="1"/>
        <v>Paradise River</v>
      </c>
      <c r="AD19" s="6"/>
      <c r="AE19" s="6" t="s">
        <v>565</v>
      </c>
      <c r="AF19" s="6"/>
      <c r="AG19" s="6"/>
      <c r="AH19" s="6"/>
      <c r="AI19" s="6"/>
    </row>
    <row r="20" spans="1:35" ht="16.5" x14ac:dyDescent="0.3">
      <c r="A20" s="19"/>
      <c r="B20" s="19"/>
      <c r="C20" s="24" t="s">
        <v>50</v>
      </c>
      <c r="D20" s="1">
        <f t="shared" si="2"/>
        <v>6</v>
      </c>
      <c r="E20" s="6" t="s">
        <v>51</v>
      </c>
      <c r="F20" s="22">
        <v>1090425.46</v>
      </c>
      <c r="G20" s="23">
        <v>542080.11335499911</v>
      </c>
      <c r="H20" s="23">
        <v>548345.34664500086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X20" s="6"/>
      <c r="Y20" s="6"/>
      <c r="Z20" s="25"/>
      <c r="AA20" s="6"/>
      <c r="AB20" s="6"/>
      <c r="AC20" s="6" t="str">
        <f t="shared" si="1"/>
        <v>Granite Canal</v>
      </c>
      <c r="AD20" s="6"/>
      <c r="AE20" s="6" t="s">
        <v>565</v>
      </c>
      <c r="AF20" s="6"/>
      <c r="AG20" s="6"/>
      <c r="AH20" s="6"/>
      <c r="AI20" s="6"/>
    </row>
    <row r="21" spans="1:35" ht="16.5" x14ac:dyDescent="0.3">
      <c r="A21" s="19"/>
      <c r="B21" s="19"/>
      <c r="C21" s="24" t="s">
        <v>52</v>
      </c>
      <c r="D21" s="1">
        <f t="shared" si="2"/>
        <v>7</v>
      </c>
      <c r="E21" s="6" t="s">
        <v>53</v>
      </c>
      <c r="F21" s="22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X21" s="6"/>
      <c r="Y21" s="6"/>
      <c r="Z21" s="25"/>
      <c r="AA21" s="6"/>
      <c r="AB21" s="6"/>
      <c r="AC21" s="6" t="str">
        <f t="shared" si="1"/>
        <v>Exploits</v>
      </c>
      <c r="AD21" s="6"/>
      <c r="AE21" s="6" t="s">
        <v>565</v>
      </c>
      <c r="AF21" s="6"/>
      <c r="AG21" s="6"/>
      <c r="AH21" s="6"/>
      <c r="AI21" s="6"/>
    </row>
    <row r="22" spans="1:35" ht="16.5" x14ac:dyDescent="0.3">
      <c r="A22" s="19"/>
      <c r="B22" s="19"/>
      <c r="C22" s="24" t="s">
        <v>54</v>
      </c>
      <c r="D22" s="1">
        <f t="shared" si="2"/>
        <v>8</v>
      </c>
      <c r="E22" s="6" t="s">
        <v>55</v>
      </c>
      <c r="F22" s="22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X22" s="6"/>
      <c r="Y22" s="6"/>
      <c r="Z22" s="25"/>
      <c r="AA22" s="6"/>
      <c r="AB22" s="6"/>
      <c r="AC22" s="6" t="str">
        <f t="shared" si="1"/>
        <v>Star Lake</v>
      </c>
      <c r="AD22" s="6"/>
      <c r="AE22" s="6" t="s">
        <v>565</v>
      </c>
      <c r="AF22" s="6"/>
      <c r="AG22" s="6"/>
      <c r="AH22" s="6"/>
      <c r="AI22" s="6"/>
    </row>
    <row r="23" spans="1:35" ht="16.5" x14ac:dyDescent="0.3">
      <c r="A23" s="19"/>
      <c r="B23" s="19"/>
      <c r="C23" s="24" t="s">
        <v>56</v>
      </c>
      <c r="D23" s="1">
        <f t="shared" si="2"/>
        <v>9</v>
      </c>
      <c r="E23" s="27" t="s">
        <v>57</v>
      </c>
      <c r="F23" s="22">
        <v>282499.95</v>
      </c>
      <c r="G23" s="23">
        <v>140438.39816321016</v>
      </c>
      <c r="H23" s="23">
        <v>142061.55183678985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X23" s="6"/>
      <c r="Y23" s="6"/>
      <c r="Z23" s="25"/>
      <c r="AA23" s="6"/>
      <c r="AB23" s="6"/>
      <c r="AC23" s="27" t="str">
        <f t="shared" si="1"/>
        <v>Other Hydraulic</v>
      </c>
      <c r="AD23" s="27"/>
      <c r="AE23" s="6" t="s">
        <v>566</v>
      </c>
      <c r="AF23" s="6"/>
      <c r="AG23" s="6"/>
      <c r="AH23" s="6"/>
      <c r="AI23" s="6"/>
    </row>
    <row r="24" spans="1:35" ht="16.5" x14ac:dyDescent="0.3">
      <c r="A24" s="28">
        <f>SUM(G24:V24)-F24</f>
        <v>0</v>
      </c>
      <c r="B24" s="28"/>
      <c r="C24" s="29" t="s">
        <v>39</v>
      </c>
      <c r="D24" s="1">
        <f>MAX(D19:D23)+NoOne</f>
        <v>10</v>
      </c>
      <c r="E24" s="20" t="s">
        <v>58</v>
      </c>
      <c r="F24" s="30">
        <f>SUM(F15:F23)</f>
        <v>1120680135.101589</v>
      </c>
      <c r="G24" s="30">
        <f>SUM(G15:G23)</f>
        <v>557120534.0991993</v>
      </c>
      <c r="H24" s="30">
        <f>SUM(H15:H23)</f>
        <v>563559601.00238955</v>
      </c>
      <c r="I24" s="30">
        <f>SUM(I15:I23)</f>
        <v>0</v>
      </c>
      <c r="J24" s="30">
        <f>SUM(J15:J23)</f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X24" s="6"/>
      <c r="Y24" s="6"/>
      <c r="Z24" s="25"/>
      <c r="AA24" s="6"/>
      <c r="AB24" s="6"/>
      <c r="AC24" s="20" t="str">
        <f t="shared" si="1"/>
        <v>Subtotal Hydraulic</v>
      </c>
      <c r="AD24" s="6"/>
      <c r="AE24" s="6"/>
      <c r="AF24" s="6"/>
      <c r="AG24" s="6"/>
      <c r="AH24" s="6"/>
      <c r="AI24" s="6"/>
    </row>
    <row r="25" spans="1:35" ht="16.5" x14ac:dyDescent="0.3">
      <c r="A25" s="28"/>
      <c r="B25" s="28"/>
      <c r="C25" s="24" t="s">
        <v>59</v>
      </c>
      <c r="D25" s="1">
        <f>MAX(D20:D24)+NoOne</f>
        <v>11</v>
      </c>
      <c r="E25" s="6" t="s">
        <v>60</v>
      </c>
      <c r="F25" s="23">
        <v>437045122.5060088</v>
      </c>
      <c r="G25" s="23">
        <v>388270886.83433819</v>
      </c>
      <c r="H25" s="23">
        <v>48774235.671670586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  <c r="U25" s="23">
        <v>0</v>
      </c>
      <c r="V25" s="23">
        <v>0</v>
      </c>
      <c r="X25" s="6"/>
      <c r="Y25" s="6"/>
      <c r="Z25" s="25"/>
      <c r="AA25" s="6"/>
      <c r="AB25" s="6"/>
      <c r="AC25" s="6" t="str">
        <f t="shared" si="1"/>
        <v>Holyrood</v>
      </c>
      <c r="AD25" s="6"/>
      <c r="AE25" s="6" t="s">
        <v>567</v>
      </c>
      <c r="AF25" s="6"/>
      <c r="AG25" s="6"/>
      <c r="AH25" s="6"/>
      <c r="AI25" s="6"/>
    </row>
    <row r="26" spans="1:35" ht="16.5" x14ac:dyDescent="0.3">
      <c r="A26" s="28"/>
      <c r="B26" s="28"/>
      <c r="C26" s="24" t="s">
        <v>61</v>
      </c>
      <c r="D26" s="1">
        <f t="shared" si="2"/>
        <v>12</v>
      </c>
      <c r="E26" s="6" t="s">
        <v>62</v>
      </c>
      <c r="F26" s="23">
        <v>200469523.85782176</v>
      </c>
      <c r="G26" s="23">
        <v>200469523.85782176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  <c r="X26" s="6"/>
      <c r="Y26" s="6"/>
      <c r="Z26" s="25"/>
      <c r="AA26" s="6"/>
      <c r="AB26" s="6"/>
      <c r="AC26" s="6" t="str">
        <f t="shared" si="1"/>
        <v>Gas Turbines</v>
      </c>
      <c r="AD26" s="6"/>
      <c r="AE26" s="6" t="s">
        <v>568</v>
      </c>
      <c r="AF26" s="6"/>
      <c r="AG26" s="6"/>
      <c r="AH26" s="6"/>
      <c r="AI26" s="6"/>
    </row>
    <row r="27" spans="1:35" ht="16.5" x14ac:dyDescent="0.3">
      <c r="A27" s="28"/>
      <c r="B27" s="28"/>
      <c r="C27" s="26" t="s">
        <v>63</v>
      </c>
      <c r="D27" s="1">
        <f t="shared" si="2"/>
        <v>13</v>
      </c>
      <c r="E27" s="6" t="s">
        <v>64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0</v>
      </c>
      <c r="V27" s="23">
        <v>0</v>
      </c>
      <c r="X27" s="6"/>
      <c r="Y27" s="6"/>
      <c r="Z27" s="25"/>
      <c r="AA27" s="6"/>
      <c r="AB27" s="6"/>
      <c r="AC27" s="6" t="str">
        <f t="shared" si="1"/>
        <v>Roddickton</v>
      </c>
      <c r="AD27" s="6"/>
      <c r="AE27" s="6" t="s">
        <v>567</v>
      </c>
      <c r="AF27" s="6"/>
      <c r="AG27" s="6"/>
      <c r="AH27" s="6"/>
      <c r="AI27" s="6"/>
    </row>
    <row r="28" spans="1:35" ht="16.5" x14ac:dyDescent="0.3">
      <c r="A28" s="28"/>
      <c r="B28" s="28"/>
      <c r="C28" s="26" t="s">
        <v>520</v>
      </c>
      <c r="D28" s="1">
        <f t="shared" si="2"/>
        <v>14</v>
      </c>
      <c r="E28" s="6" t="s">
        <v>65</v>
      </c>
      <c r="F28" s="23">
        <f>SUM(G28:V28)</f>
        <v>12942772.871691592</v>
      </c>
      <c r="G28" s="23">
        <v>12942772.871691592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  <c r="U28" s="23">
        <v>0</v>
      </c>
      <c r="V28" s="23">
        <v>0</v>
      </c>
      <c r="X28" s="6"/>
      <c r="Y28" s="6"/>
      <c r="Z28" s="25"/>
      <c r="AA28" s="6"/>
      <c r="AB28" s="6"/>
      <c r="AC28" s="6" t="str">
        <f t="shared" si="1"/>
        <v>Diesel</v>
      </c>
      <c r="AD28" s="6"/>
      <c r="AE28" s="6" t="s">
        <v>569</v>
      </c>
      <c r="AF28" s="6"/>
      <c r="AG28" s="6"/>
      <c r="AH28" s="6"/>
      <c r="AI28" s="6"/>
    </row>
    <row r="29" spans="1:35" ht="16.5" x14ac:dyDescent="0.3">
      <c r="A29" s="28">
        <f>SUM(G29:V29)-F29</f>
        <v>0</v>
      </c>
      <c r="B29" s="28"/>
      <c r="C29" s="29" t="s">
        <v>39</v>
      </c>
      <c r="D29" s="1">
        <f t="shared" si="2"/>
        <v>15</v>
      </c>
      <c r="E29" s="20" t="s">
        <v>66</v>
      </c>
      <c r="F29" s="30">
        <f>SUM(F24:F28)</f>
        <v>1771137554.3371112</v>
      </c>
      <c r="G29" s="30">
        <f>SUM(G24:G28)</f>
        <v>1158803717.6630509</v>
      </c>
      <c r="H29" s="30">
        <f>SUM(H24:H28)</f>
        <v>612333836.67406011</v>
      </c>
      <c r="I29" s="30">
        <f>SUM(I24:I28)</f>
        <v>0</v>
      </c>
      <c r="J29" s="30">
        <f>SUM(J24:J28)</f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X29" s="6"/>
      <c r="Y29" s="6"/>
      <c r="Z29" s="25"/>
      <c r="AA29" s="6"/>
      <c r="AB29" s="6"/>
      <c r="AC29" s="20" t="str">
        <f t="shared" si="1"/>
        <v>Subtotal Production</v>
      </c>
      <c r="AD29" s="6"/>
      <c r="AE29" s="6"/>
      <c r="AF29" s="6"/>
      <c r="AG29" s="6"/>
      <c r="AH29" s="6"/>
      <c r="AI29" s="6"/>
    </row>
    <row r="30" spans="1:35" ht="16.5" x14ac:dyDescent="0.3">
      <c r="A30" s="28"/>
      <c r="B30" s="28"/>
      <c r="C30" s="26"/>
      <c r="D30" s="1"/>
      <c r="E30" s="20" t="s">
        <v>17</v>
      </c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X30" s="6"/>
      <c r="Y30" s="6"/>
      <c r="Z30" s="25"/>
      <c r="AA30" s="6"/>
      <c r="AB30" s="6"/>
      <c r="AC30" s="20" t="str">
        <f t="shared" si="1"/>
        <v>Transmission</v>
      </c>
      <c r="AD30" s="6"/>
      <c r="AE30" s="6"/>
      <c r="AF30" s="6"/>
      <c r="AG30" s="6"/>
      <c r="AH30" s="6"/>
      <c r="AI30" s="6"/>
    </row>
    <row r="31" spans="1:35" ht="16.5" customHeight="1" x14ac:dyDescent="0.3">
      <c r="A31" s="28"/>
      <c r="B31" s="28"/>
      <c r="C31" s="26" t="s">
        <v>521</v>
      </c>
      <c r="D31" s="1">
        <f t="shared" ref="D31:D38" si="3">MAX(D28:D30)+NoOne</f>
        <v>16</v>
      </c>
      <c r="E31" s="6" t="s">
        <v>67</v>
      </c>
      <c r="F31" s="22">
        <f>SUM(G31:V31)</f>
        <v>678735396.47137809</v>
      </c>
      <c r="G31" s="22">
        <v>16819819.194052048</v>
      </c>
      <c r="H31" s="22">
        <v>17014218.672192231</v>
      </c>
      <c r="I31" s="22">
        <v>510359668.22534925</v>
      </c>
      <c r="J31" s="22">
        <v>93873902.307968155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40667788.071816415</v>
      </c>
      <c r="X31" s="6"/>
      <c r="Y31" s="6"/>
      <c r="Z31" s="25"/>
      <c r="AA31" s="6"/>
      <c r="AB31" s="6"/>
      <c r="AC31" s="6" t="str">
        <f t="shared" si="1"/>
        <v>Lines</v>
      </c>
      <c r="AD31" s="6"/>
      <c r="AE31" s="27" t="s">
        <v>570</v>
      </c>
      <c r="AF31" s="6"/>
      <c r="AG31" s="6"/>
      <c r="AH31" s="6"/>
      <c r="AI31" s="6"/>
    </row>
    <row r="32" spans="1:35" ht="16.5" customHeight="1" x14ac:dyDescent="0.3">
      <c r="A32" s="28"/>
      <c r="B32" s="28"/>
      <c r="C32" s="26" t="s">
        <v>522</v>
      </c>
      <c r="D32" s="1">
        <f t="shared" si="3"/>
        <v>17</v>
      </c>
      <c r="E32" s="27" t="s">
        <v>68</v>
      </c>
      <c r="F32" s="22">
        <f>SUM(G32:V32)</f>
        <v>364335330.02055377</v>
      </c>
      <c r="G32" s="22">
        <v>0</v>
      </c>
      <c r="H32" s="22">
        <v>0</v>
      </c>
      <c r="I32" s="22">
        <v>311535933.7370398</v>
      </c>
      <c r="J32" s="22">
        <v>30123467.053792328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22675929.229721624</v>
      </c>
      <c r="X32" s="6"/>
      <c r="Y32" s="6"/>
      <c r="Z32" s="25"/>
      <c r="AA32" s="6"/>
      <c r="AB32" s="6"/>
      <c r="AC32" s="27" t="str">
        <f t="shared" si="1"/>
        <v xml:space="preserve">Terminal Stations </v>
      </c>
      <c r="AD32" s="27"/>
      <c r="AE32" s="6" t="str">
        <f>+"Production - Demand, Energy subtotals, L. "&amp;D29&amp;"; Transmission - Demand; Spec Assigned - Custmr"</f>
        <v>Production - Demand, Energy subtotals, L. 15; Transmission - Demand; Spec Assigned - Custmr</v>
      </c>
      <c r="AF32" s="6"/>
      <c r="AG32" s="6"/>
      <c r="AH32" s="6"/>
      <c r="AI32" s="6"/>
    </row>
    <row r="33" spans="1:42" ht="16.5" customHeight="1" x14ac:dyDescent="0.3">
      <c r="A33" s="32"/>
      <c r="B33" s="32"/>
      <c r="C33" s="26" t="s">
        <v>523</v>
      </c>
      <c r="D33" s="1">
        <f>MAX(D31:D32)+NoOne</f>
        <v>18</v>
      </c>
      <c r="E33" s="33" t="s">
        <v>69</v>
      </c>
      <c r="F33" s="22">
        <f>SUM(G33:V33)</f>
        <v>55383108.328889243</v>
      </c>
      <c r="G33" s="22">
        <v>27532447.418163255</v>
      </c>
      <c r="H33" s="22">
        <v>27850660.910725988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  <c r="V33" s="22">
        <v>0</v>
      </c>
      <c r="X33" s="6"/>
      <c r="Y33" s="6"/>
      <c r="Z33" s="25"/>
      <c r="AA33" s="6"/>
      <c r="AB33" s="6"/>
      <c r="AC33" s="33" t="str">
        <f t="shared" si="1"/>
        <v>Term Stns - Hydraulic</v>
      </c>
      <c r="AD33" s="33"/>
      <c r="AE33" s="6" t="s">
        <v>571</v>
      </c>
      <c r="AF33" s="6"/>
      <c r="AG33" s="6"/>
      <c r="AH33" s="6"/>
      <c r="AI33" s="6"/>
    </row>
    <row r="34" spans="1:42" ht="16.5" customHeight="1" x14ac:dyDescent="0.3">
      <c r="A34" s="32"/>
      <c r="B34" s="32"/>
      <c r="C34" s="26" t="s">
        <v>70</v>
      </c>
      <c r="D34" s="1">
        <f>MAX(D32:D33)+NoOne</f>
        <v>19</v>
      </c>
      <c r="E34" s="33" t="s">
        <v>71</v>
      </c>
      <c r="F34" s="22">
        <v>15948999.195075396</v>
      </c>
      <c r="G34" s="22">
        <v>14169090.884904983</v>
      </c>
      <c r="H34" s="22">
        <v>1779908.3101704144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X34" s="6"/>
      <c r="Y34" s="6"/>
      <c r="Z34" s="25"/>
      <c r="AA34" s="6"/>
      <c r="AB34" s="6"/>
      <c r="AC34" s="33" t="str">
        <f t="shared" si="1"/>
        <v>Term Stns - Holyrood</v>
      </c>
      <c r="AD34" s="33"/>
      <c r="AE34" s="6" t="s">
        <v>572</v>
      </c>
      <c r="AF34" s="6"/>
      <c r="AG34" s="6"/>
      <c r="AH34" s="6"/>
      <c r="AI34" s="6"/>
    </row>
    <row r="35" spans="1:42" ht="16.5" customHeight="1" x14ac:dyDescent="0.3">
      <c r="A35" s="32"/>
      <c r="B35" s="32"/>
      <c r="C35" s="26" t="s">
        <v>524</v>
      </c>
      <c r="D35" s="1">
        <f>MAX(D33:D34)+NoOne</f>
        <v>20</v>
      </c>
      <c r="E35" s="33" t="s">
        <v>72</v>
      </c>
      <c r="F35" s="23">
        <f>SUM(G35:V35)</f>
        <v>453488.19000000006</v>
      </c>
      <c r="G35" s="23">
        <v>453488.19000000006</v>
      </c>
      <c r="H35" s="23">
        <v>0</v>
      </c>
      <c r="I35" s="34">
        <v>0</v>
      </c>
      <c r="J35" s="23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X35" s="6"/>
      <c r="Y35" s="6"/>
      <c r="Z35" s="25"/>
      <c r="AA35" s="6"/>
      <c r="AB35" s="6"/>
      <c r="AC35" s="33" t="str">
        <f t="shared" si="1"/>
        <v>Term Stns - Gas Tur/Dsl</v>
      </c>
      <c r="AD35" s="33"/>
      <c r="AE35" s="6" t="s">
        <v>573</v>
      </c>
      <c r="AF35" s="6"/>
      <c r="AG35" s="6"/>
      <c r="AH35" s="6"/>
      <c r="AI35" s="6"/>
    </row>
    <row r="36" spans="1:42" ht="16.5" customHeight="1" x14ac:dyDescent="0.3">
      <c r="A36" s="32"/>
      <c r="B36" s="32"/>
      <c r="C36" s="26" t="s">
        <v>73</v>
      </c>
      <c r="D36" s="1">
        <f t="shared" si="3"/>
        <v>21</v>
      </c>
      <c r="E36" s="35" t="s">
        <v>74</v>
      </c>
      <c r="F36" s="22">
        <v>19394860.186696097</v>
      </c>
      <c r="G36" s="34">
        <v>0</v>
      </c>
      <c r="H36" s="34">
        <v>0</v>
      </c>
      <c r="I36" s="34">
        <v>0</v>
      </c>
      <c r="J36" s="34">
        <v>0</v>
      </c>
      <c r="K36" s="34">
        <f>F36</f>
        <v>19394860.186696097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X36" s="6"/>
      <c r="Y36" s="6"/>
      <c r="Z36" s="25"/>
      <c r="AA36" s="6"/>
      <c r="AB36" s="6"/>
      <c r="AC36" s="35" t="str">
        <f t="shared" si="1"/>
        <v>Term Stns - Distribution</v>
      </c>
      <c r="AD36" s="36"/>
      <c r="AE36" s="6" t="s">
        <v>75</v>
      </c>
      <c r="AF36" s="6"/>
      <c r="AG36" s="6"/>
      <c r="AH36" s="6"/>
      <c r="AI36" s="6"/>
      <c r="AP36" s="1"/>
    </row>
    <row r="37" spans="1:42" ht="16.5" customHeight="1" x14ac:dyDescent="0.3">
      <c r="A37" s="28">
        <f>SUM(G37:V37)-F37</f>
        <v>0</v>
      </c>
      <c r="B37" s="28"/>
      <c r="C37" s="29"/>
      <c r="D37" s="1">
        <f t="shared" si="3"/>
        <v>22</v>
      </c>
      <c r="E37" s="37" t="s">
        <v>76</v>
      </c>
      <c r="F37" s="38">
        <f t="shared" ref="F37:V37" si="4">SUM(F32:F36)</f>
        <v>455515785.92121452</v>
      </c>
      <c r="G37" s="30">
        <f t="shared" si="4"/>
        <v>42155026.493068233</v>
      </c>
      <c r="H37" s="30">
        <f t="shared" si="4"/>
        <v>29630569.220896404</v>
      </c>
      <c r="I37" s="30">
        <f t="shared" si="4"/>
        <v>311535933.7370398</v>
      </c>
      <c r="J37" s="30">
        <f t="shared" si="4"/>
        <v>30123467.053792328</v>
      </c>
      <c r="K37" s="30">
        <f t="shared" si="4"/>
        <v>19394860.186696097</v>
      </c>
      <c r="L37" s="30">
        <f t="shared" si="4"/>
        <v>0</v>
      </c>
      <c r="M37" s="30">
        <f t="shared" si="4"/>
        <v>0</v>
      </c>
      <c r="N37" s="30">
        <f t="shared" si="4"/>
        <v>0</v>
      </c>
      <c r="O37" s="30">
        <f t="shared" si="4"/>
        <v>0</v>
      </c>
      <c r="P37" s="30">
        <f t="shared" si="4"/>
        <v>0</v>
      </c>
      <c r="Q37" s="30">
        <f t="shared" si="4"/>
        <v>0</v>
      </c>
      <c r="R37" s="30">
        <f t="shared" si="4"/>
        <v>0</v>
      </c>
      <c r="S37" s="30">
        <f t="shared" si="4"/>
        <v>0</v>
      </c>
      <c r="T37" s="30">
        <f t="shared" si="4"/>
        <v>0</v>
      </c>
      <c r="U37" s="30">
        <f t="shared" si="4"/>
        <v>0</v>
      </c>
      <c r="V37" s="30">
        <f t="shared" si="4"/>
        <v>22675929.229721624</v>
      </c>
      <c r="X37" s="6"/>
      <c r="Y37" s="6"/>
      <c r="Z37" s="25"/>
      <c r="AA37" s="6"/>
      <c r="AB37" s="6"/>
      <c r="AC37" s="37" t="str">
        <f t="shared" si="1"/>
        <v>Subtotal Term Stns</v>
      </c>
      <c r="AD37" s="36"/>
      <c r="AE37" s="6"/>
      <c r="AF37" s="6"/>
      <c r="AG37" s="6"/>
      <c r="AH37" s="6"/>
      <c r="AI37" s="6"/>
    </row>
    <row r="38" spans="1:42" ht="18.75" customHeight="1" x14ac:dyDescent="0.3">
      <c r="A38" s="28">
        <f>SUM(G38:V38)-F38</f>
        <v>0</v>
      </c>
      <c r="B38" s="28"/>
      <c r="C38" s="29" t="s">
        <v>39</v>
      </c>
      <c r="D38" s="1">
        <f t="shared" si="3"/>
        <v>23</v>
      </c>
      <c r="E38" s="37" t="s">
        <v>77</v>
      </c>
      <c r="F38" s="30">
        <f t="shared" ref="F38:V38" si="5">SUM(F31,F37)</f>
        <v>1134251182.3925927</v>
      </c>
      <c r="G38" s="30">
        <f t="shared" si="5"/>
        <v>58974845.687120281</v>
      </c>
      <c r="H38" s="30">
        <f t="shared" si="5"/>
        <v>46644787.893088639</v>
      </c>
      <c r="I38" s="30">
        <f t="shared" si="5"/>
        <v>821895601.96238899</v>
      </c>
      <c r="J38" s="30">
        <f t="shared" si="5"/>
        <v>123997369.36176048</v>
      </c>
      <c r="K38" s="30">
        <f t="shared" si="5"/>
        <v>19394860.186696097</v>
      </c>
      <c r="L38" s="30">
        <f t="shared" si="5"/>
        <v>0</v>
      </c>
      <c r="M38" s="30">
        <f t="shared" si="5"/>
        <v>0</v>
      </c>
      <c r="N38" s="30">
        <f t="shared" si="5"/>
        <v>0</v>
      </c>
      <c r="O38" s="30">
        <f t="shared" si="5"/>
        <v>0</v>
      </c>
      <c r="P38" s="30">
        <f t="shared" si="5"/>
        <v>0</v>
      </c>
      <c r="Q38" s="30">
        <f t="shared" si="5"/>
        <v>0</v>
      </c>
      <c r="R38" s="30">
        <f t="shared" si="5"/>
        <v>0</v>
      </c>
      <c r="S38" s="30">
        <f t="shared" si="5"/>
        <v>0</v>
      </c>
      <c r="T38" s="30">
        <f t="shared" si="5"/>
        <v>0</v>
      </c>
      <c r="U38" s="30">
        <f t="shared" si="5"/>
        <v>0</v>
      </c>
      <c r="V38" s="30">
        <f t="shared" si="5"/>
        <v>63343717.301538035</v>
      </c>
      <c r="X38" s="6"/>
      <c r="Y38" s="6"/>
      <c r="Z38" s="25"/>
      <c r="AA38" s="6"/>
      <c r="AB38" s="6"/>
      <c r="AC38" s="37" t="str">
        <f t="shared" si="1"/>
        <v>Subtotal Transmission</v>
      </c>
      <c r="AD38" s="36"/>
      <c r="AE38" s="6"/>
      <c r="AF38" s="6"/>
      <c r="AG38" s="6"/>
      <c r="AH38" s="6"/>
      <c r="AI38" s="6"/>
    </row>
    <row r="39" spans="1:42" ht="17.25" customHeight="1" x14ac:dyDescent="0.3">
      <c r="A39" s="32"/>
      <c r="B39" s="32"/>
      <c r="C39" s="26"/>
      <c r="D39" s="1"/>
      <c r="E39" s="37" t="s">
        <v>9</v>
      </c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X39" s="6"/>
      <c r="Y39" s="6"/>
      <c r="Z39" s="25"/>
      <c r="AA39" s="6"/>
      <c r="AB39" s="6"/>
      <c r="AC39" s="39" t="str">
        <f t="shared" si="1"/>
        <v>Distribution</v>
      </c>
      <c r="AD39" s="36"/>
      <c r="AE39" s="6"/>
      <c r="AF39" s="6"/>
      <c r="AG39" s="6"/>
      <c r="AH39" s="6"/>
      <c r="AI39" s="6"/>
    </row>
    <row r="40" spans="1:42" ht="16.5" customHeight="1" x14ac:dyDescent="0.3">
      <c r="A40" s="32"/>
      <c r="B40" s="32"/>
      <c r="C40" s="26" t="s">
        <v>525</v>
      </c>
      <c r="D40" s="1">
        <f t="shared" ref="D40:D56" si="6">MAX(D37:D39)+NoOne</f>
        <v>24</v>
      </c>
      <c r="E40" s="36" t="s">
        <v>18</v>
      </c>
      <c r="F40" s="22">
        <f>SUM(G40:V40)</f>
        <v>44549496.550059222</v>
      </c>
      <c r="G40" s="22">
        <v>0</v>
      </c>
      <c r="H40" s="22">
        <v>0</v>
      </c>
      <c r="I40" s="22">
        <v>0</v>
      </c>
      <c r="J40" s="22">
        <v>0</v>
      </c>
      <c r="K40" s="22">
        <v>44549496.550059222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X40" s="6"/>
      <c r="Y40" s="6"/>
      <c r="Z40" s="25"/>
      <c r="AA40" s="6"/>
      <c r="AB40" s="6"/>
      <c r="AC40" s="36" t="str">
        <f t="shared" si="1"/>
        <v>Substations</v>
      </c>
      <c r="AD40" s="36"/>
      <c r="AE40" s="6" t="s">
        <v>78</v>
      </c>
      <c r="AF40" s="6"/>
      <c r="AG40" s="6"/>
      <c r="AH40" s="6"/>
      <c r="AI40" s="6"/>
    </row>
    <row r="41" spans="1:42" ht="16.5" customHeight="1" x14ac:dyDescent="0.3">
      <c r="A41" s="32"/>
      <c r="B41" s="32"/>
      <c r="C41" s="26" t="s">
        <v>79</v>
      </c>
      <c r="D41" s="1">
        <f t="shared" si="6"/>
        <v>25</v>
      </c>
      <c r="E41" s="36" t="s">
        <v>80</v>
      </c>
      <c r="F41" s="22">
        <v>3384051.3899999987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2551405.5454904991</v>
      </c>
      <c r="M41" s="22">
        <v>325038.13600949984</v>
      </c>
      <c r="N41" s="22">
        <v>0</v>
      </c>
      <c r="O41" s="22">
        <v>0</v>
      </c>
      <c r="P41" s="22">
        <v>295935.29405549983</v>
      </c>
      <c r="Q41" s="22">
        <v>211672.41444449991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X41" s="6"/>
      <c r="Y41" s="6"/>
      <c r="Z41" s="25"/>
      <c r="AA41" s="6"/>
      <c r="AB41" s="6" t="s">
        <v>39</v>
      </c>
      <c r="AC41" s="36" t="str">
        <f t="shared" si="1"/>
        <v>Land &amp; Land Improvements</v>
      </c>
      <c r="AD41" s="36"/>
      <c r="AE41" s="6" t="s">
        <v>574</v>
      </c>
      <c r="AF41" s="6"/>
      <c r="AG41" s="6"/>
      <c r="AH41" s="6"/>
      <c r="AI41" s="6"/>
    </row>
    <row r="42" spans="1:42" ht="16.5" customHeight="1" x14ac:dyDescent="0.3">
      <c r="A42" s="32"/>
      <c r="B42" s="32"/>
      <c r="C42" s="26" t="s">
        <v>79</v>
      </c>
      <c r="D42" s="1">
        <f t="shared" si="6"/>
        <v>26</v>
      </c>
      <c r="E42" s="36" t="s">
        <v>81</v>
      </c>
      <c r="F42" s="22">
        <v>160253235.82534122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92682138.433114439</v>
      </c>
      <c r="M42" s="22">
        <v>31674372.567350347</v>
      </c>
      <c r="N42" s="22">
        <v>0</v>
      </c>
      <c r="O42" s="22">
        <v>0</v>
      </c>
      <c r="P42" s="22">
        <v>16404803.244968528</v>
      </c>
      <c r="Q42" s="22">
        <v>19491921.579907905</v>
      </c>
      <c r="R42" s="22">
        <v>0</v>
      </c>
      <c r="S42" s="22">
        <v>0</v>
      </c>
      <c r="T42" s="22">
        <v>0</v>
      </c>
      <c r="U42" s="22">
        <v>0</v>
      </c>
      <c r="V42" s="22">
        <v>0</v>
      </c>
      <c r="X42" s="6"/>
      <c r="Y42" s="6"/>
      <c r="Z42" s="25"/>
      <c r="AA42" s="6"/>
      <c r="AB42" s="6"/>
      <c r="AC42" s="36" t="str">
        <f t="shared" si="1"/>
        <v>Poles</v>
      </c>
      <c r="AD42" s="36"/>
      <c r="AE42" s="6" t="s">
        <v>575</v>
      </c>
      <c r="AF42" s="6"/>
      <c r="AG42" s="6"/>
      <c r="AH42" s="6"/>
      <c r="AI42" s="6"/>
    </row>
    <row r="43" spans="1:42" ht="16.5" customHeight="1" x14ac:dyDescent="0.3">
      <c r="A43" s="32"/>
      <c r="B43" s="32"/>
      <c r="C43" s="26" t="s">
        <v>79</v>
      </c>
      <c r="D43" s="1">
        <f t="shared" si="6"/>
        <v>27</v>
      </c>
      <c r="E43" s="36" t="s">
        <v>82</v>
      </c>
      <c r="F43" s="22">
        <v>25812930.058310699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22896068.961721592</v>
      </c>
      <c r="M43" s="22">
        <v>2916861.0965891089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X43" s="6"/>
      <c r="Y43" s="6"/>
      <c r="Z43" s="25"/>
      <c r="AA43" s="6"/>
      <c r="AB43" s="6"/>
      <c r="AC43" s="36" t="str">
        <f t="shared" si="1"/>
        <v>Primary Conductor &amp; Eqpt</v>
      </c>
      <c r="AD43" s="36"/>
      <c r="AE43" s="27" t="s">
        <v>576</v>
      </c>
      <c r="AF43" s="6"/>
      <c r="AG43" s="6"/>
      <c r="AH43" s="6"/>
      <c r="AI43" s="6"/>
    </row>
    <row r="44" spans="1:42" ht="16.5" customHeight="1" x14ac:dyDescent="0.3">
      <c r="A44" s="32"/>
      <c r="B44" s="32"/>
      <c r="C44" s="24" t="s">
        <v>83</v>
      </c>
      <c r="D44" s="1">
        <f t="shared" si="6"/>
        <v>28</v>
      </c>
      <c r="E44" s="36" t="s">
        <v>84</v>
      </c>
      <c r="F44" s="22">
        <v>9854684.4300000016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9854684.4300000016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X44" s="6"/>
      <c r="Y44" s="6"/>
      <c r="Z44" s="25"/>
      <c r="AA44" s="6"/>
      <c r="AB44" s="6"/>
      <c r="AC44" s="36" t="str">
        <f t="shared" si="1"/>
        <v>Submarine Conductor</v>
      </c>
      <c r="AD44" s="36"/>
      <c r="AE44" s="27" t="s">
        <v>577</v>
      </c>
      <c r="AF44" s="6"/>
      <c r="AG44" s="6"/>
      <c r="AH44" s="6"/>
      <c r="AI44" s="6"/>
    </row>
    <row r="45" spans="1:42" ht="16.5" customHeight="1" x14ac:dyDescent="0.3">
      <c r="A45" s="32"/>
      <c r="B45" s="32"/>
      <c r="C45" s="26" t="s">
        <v>79</v>
      </c>
      <c r="D45" s="1">
        <f t="shared" si="6"/>
        <v>29</v>
      </c>
      <c r="E45" s="36" t="s">
        <v>85</v>
      </c>
      <c r="F45" s="22">
        <v>29563425.296188358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10672396.531923996</v>
      </c>
      <c r="O45" s="22">
        <v>18891028.76426436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0</v>
      </c>
      <c r="V45" s="22">
        <v>0</v>
      </c>
      <c r="X45" s="6"/>
      <c r="Y45" s="6"/>
      <c r="Z45" s="25"/>
      <c r="AA45" s="6"/>
      <c r="AB45" s="6"/>
      <c r="AC45" s="36" t="str">
        <f t="shared" si="1"/>
        <v>Transformers</v>
      </c>
      <c r="AD45" s="36"/>
      <c r="AE45" s="6" t="s">
        <v>578</v>
      </c>
      <c r="AF45" s="6"/>
      <c r="AG45" s="6"/>
      <c r="AH45" s="6"/>
      <c r="AI45" s="6"/>
    </row>
    <row r="46" spans="1:42" ht="16.5" customHeight="1" x14ac:dyDescent="0.3">
      <c r="A46" s="32"/>
      <c r="B46" s="32"/>
      <c r="C46" s="26" t="s">
        <v>79</v>
      </c>
      <c r="D46" s="1">
        <f t="shared" si="6"/>
        <v>30</v>
      </c>
      <c r="E46" s="36" t="s">
        <v>86</v>
      </c>
      <c r="F46" s="22">
        <v>3070255.3678515726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1789958.8794574668</v>
      </c>
      <c r="Q46" s="22">
        <v>1280296.4883941058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X46" s="6"/>
      <c r="Y46" s="6"/>
      <c r="Z46" s="25"/>
      <c r="AA46" s="6"/>
      <c r="AB46" s="6"/>
      <c r="AC46" s="36" t="str">
        <f t="shared" si="1"/>
        <v>Secondary Conductor&amp;Eqpt</v>
      </c>
      <c r="AD46" s="36"/>
      <c r="AE46" s="6" t="s">
        <v>579</v>
      </c>
      <c r="AF46" s="6"/>
      <c r="AG46" s="6"/>
      <c r="AH46" s="6"/>
      <c r="AI46" s="6"/>
    </row>
    <row r="47" spans="1:42" ht="16.5" customHeight="1" x14ac:dyDescent="0.3">
      <c r="A47" s="32"/>
      <c r="B47" s="32"/>
      <c r="C47" s="26" t="s">
        <v>79</v>
      </c>
      <c r="D47" s="1">
        <f t="shared" si="6"/>
        <v>31</v>
      </c>
      <c r="E47" s="36" t="s">
        <v>22</v>
      </c>
      <c r="F47" s="22">
        <v>6162248.809609619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6162248.809609619</v>
      </c>
      <c r="S47" s="22">
        <v>0</v>
      </c>
      <c r="T47" s="22">
        <v>0</v>
      </c>
      <c r="U47" s="22">
        <v>0</v>
      </c>
      <c r="V47" s="22">
        <v>0</v>
      </c>
      <c r="X47" s="6"/>
      <c r="Y47" s="6"/>
      <c r="Z47" s="25"/>
      <c r="AA47" s="6"/>
      <c r="AB47" s="6"/>
      <c r="AC47" s="36" t="str">
        <f t="shared" si="1"/>
        <v>Services</v>
      </c>
      <c r="AD47" s="36"/>
      <c r="AE47" s="6" t="s">
        <v>87</v>
      </c>
      <c r="AF47" s="6"/>
      <c r="AG47" s="6"/>
      <c r="AH47" s="6"/>
      <c r="AI47" s="6"/>
    </row>
    <row r="48" spans="1:42" ht="16.5" customHeight="1" x14ac:dyDescent="0.3">
      <c r="A48" s="32"/>
      <c r="B48" s="32"/>
      <c r="C48" s="26" t="s">
        <v>528</v>
      </c>
      <c r="D48" s="1">
        <f t="shared" si="6"/>
        <v>32</v>
      </c>
      <c r="E48" s="36" t="s">
        <v>23</v>
      </c>
      <c r="F48" s="22">
        <v>9766092.7701142989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22">
        <v>9766092.7701142989</v>
      </c>
      <c r="T48" s="22">
        <v>0</v>
      </c>
      <c r="U48" s="22">
        <v>0</v>
      </c>
      <c r="V48" s="22">
        <v>0</v>
      </c>
      <c r="X48" s="6"/>
      <c r="Y48" s="6"/>
      <c r="Z48" s="25"/>
      <c r="AA48" s="6"/>
      <c r="AB48" s="6"/>
      <c r="AC48" s="36" t="str">
        <f t="shared" si="1"/>
        <v>Meters</v>
      </c>
      <c r="AD48" s="36"/>
      <c r="AE48" s="6" t="s">
        <v>88</v>
      </c>
      <c r="AF48" s="6"/>
      <c r="AG48" s="6"/>
      <c r="AH48" s="6"/>
      <c r="AI48" s="6"/>
    </row>
    <row r="49" spans="1:42" ht="16.5" customHeight="1" x14ac:dyDescent="0.3">
      <c r="A49" s="32"/>
      <c r="B49" s="32"/>
      <c r="C49" s="26" t="s">
        <v>79</v>
      </c>
      <c r="D49" s="1">
        <f t="shared" si="6"/>
        <v>33</v>
      </c>
      <c r="E49" s="36" t="s">
        <v>24</v>
      </c>
      <c r="F49" s="34">
        <v>5258083.6537711592</v>
      </c>
      <c r="G49" s="34">
        <v>0</v>
      </c>
      <c r="H49" s="34">
        <v>0</v>
      </c>
      <c r="I49" s="22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34">
        <v>5258083.6537711592</v>
      </c>
      <c r="U49" s="34">
        <v>0</v>
      </c>
      <c r="V49" s="34">
        <v>0</v>
      </c>
      <c r="X49" s="6"/>
      <c r="Y49" s="6"/>
      <c r="Z49" s="25"/>
      <c r="AA49" s="6"/>
      <c r="AB49" s="6"/>
      <c r="AC49" s="36" t="str">
        <f t="shared" si="1"/>
        <v>Street Lighting</v>
      </c>
      <c r="AD49" s="36"/>
      <c r="AE49" s="6" t="s">
        <v>89</v>
      </c>
      <c r="AF49" s="6"/>
      <c r="AG49" s="6"/>
      <c r="AH49" s="6"/>
      <c r="AI49" s="6"/>
    </row>
    <row r="50" spans="1:42" ht="16.5" x14ac:dyDescent="0.3">
      <c r="A50" s="28">
        <f>SUM(G50:V50)-F50</f>
        <v>0</v>
      </c>
      <c r="B50" s="28"/>
      <c r="C50" s="29" t="s">
        <v>39</v>
      </c>
      <c r="D50" s="1">
        <f t="shared" si="6"/>
        <v>34</v>
      </c>
      <c r="E50" s="39" t="s">
        <v>90</v>
      </c>
      <c r="F50" s="31">
        <f>SUM(F40:F49)</f>
        <v>297674504.15124613</v>
      </c>
      <c r="G50" s="31">
        <f>SUM(G40:G49)</f>
        <v>0</v>
      </c>
      <c r="H50" s="31">
        <f>SUM(H40:H49)</f>
        <v>0</v>
      </c>
      <c r="I50" s="31">
        <f>SUM(I40:I49)</f>
        <v>0</v>
      </c>
      <c r="J50" s="31">
        <f t="shared" ref="J50:V50" si="7">SUM(J40:J49)</f>
        <v>0</v>
      </c>
      <c r="K50" s="31">
        <f t="shared" si="7"/>
        <v>44549496.550059222</v>
      </c>
      <c r="L50" s="31">
        <f t="shared" si="7"/>
        <v>127984297.37032655</v>
      </c>
      <c r="M50" s="31">
        <f t="shared" si="7"/>
        <v>34916271.799948953</v>
      </c>
      <c r="N50" s="31">
        <f t="shared" si="7"/>
        <v>10672396.531923996</v>
      </c>
      <c r="O50" s="31">
        <f t="shared" si="7"/>
        <v>18891028.76426436</v>
      </c>
      <c r="P50" s="31">
        <f t="shared" si="7"/>
        <v>18490697.418481495</v>
      </c>
      <c r="Q50" s="31">
        <f t="shared" si="7"/>
        <v>20983890.482746512</v>
      </c>
      <c r="R50" s="31">
        <f t="shared" si="7"/>
        <v>6162248.809609619</v>
      </c>
      <c r="S50" s="31">
        <f t="shared" si="7"/>
        <v>9766092.7701142989</v>
      </c>
      <c r="T50" s="31">
        <f t="shared" si="7"/>
        <v>5258083.6537711592</v>
      </c>
      <c r="U50" s="31">
        <f t="shared" si="7"/>
        <v>0</v>
      </c>
      <c r="V50" s="31">
        <f t="shared" si="7"/>
        <v>0</v>
      </c>
      <c r="X50" s="6"/>
      <c r="Y50" s="6"/>
      <c r="Z50" s="25"/>
      <c r="AA50" s="6"/>
      <c r="AB50" s="6"/>
      <c r="AC50" s="39" t="str">
        <f t="shared" si="1"/>
        <v>Subtotal Distribution</v>
      </c>
      <c r="AD50" s="36"/>
      <c r="AE50" s="6"/>
      <c r="AF50" s="6"/>
      <c r="AG50" s="6"/>
      <c r="AH50" s="6"/>
      <c r="AI50" s="6"/>
    </row>
    <row r="51" spans="1:42" ht="16.5" x14ac:dyDescent="0.3">
      <c r="A51" s="28">
        <f>SUM(G51:V51)-F51</f>
        <v>0</v>
      </c>
      <c r="B51" s="28"/>
      <c r="C51" s="29" t="s">
        <v>39</v>
      </c>
      <c r="D51" s="1">
        <f t="shared" si="6"/>
        <v>35</v>
      </c>
      <c r="E51" s="39" t="s">
        <v>91</v>
      </c>
      <c r="F51" s="40">
        <f t="shared" ref="F51:V51" si="8">SUM(F50,F38,F29)</f>
        <v>3203063240.88095</v>
      </c>
      <c r="G51" s="40">
        <f t="shared" si="8"/>
        <v>1217778563.3501711</v>
      </c>
      <c r="H51" s="40">
        <f t="shared" si="8"/>
        <v>658978624.56714869</v>
      </c>
      <c r="I51" s="40">
        <f t="shared" si="8"/>
        <v>821895601.96238899</v>
      </c>
      <c r="J51" s="40">
        <f t="shared" si="8"/>
        <v>123997369.36176048</v>
      </c>
      <c r="K51" s="40">
        <f t="shared" si="8"/>
        <v>63944356.736755319</v>
      </c>
      <c r="L51" s="40">
        <f t="shared" si="8"/>
        <v>127984297.37032655</v>
      </c>
      <c r="M51" s="40">
        <f t="shared" si="8"/>
        <v>34916271.799948953</v>
      </c>
      <c r="N51" s="40">
        <f t="shared" si="8"/>
        <v>10672396.531923996</v>
      </c>
      <c r="O51" s="40">
        <f t="shared" si="8"/>
        <v>18891028.76426436</v>
      </c>
      <c r="P51" s="40">
        <f t="shared" si="8"/>
        <v>18490697.418481495</v>
      </c>
      <c r="Q51" s="40">
        <f t="shared" si="8"/>
        <v>20983890.482746512</v>
      </c>
      <c r="R51" s="40">
        <f t="shared" si="8"/>
        <v>6162248.809609619</v>
      </c>
      <c r="S51" s="40">
        <f t="shared" si="8"/>
        <v>9766092.7701142989</v>
      </c>
      <c r="T51" s="40">
        <f t="shared" si="8"/>
        <v>5258083.6537711592</v>
      </c>
      <c r="U51" s="40">
        <f t="shared" si="8"/>
        <v>0</v>
      </c>
      <c r="V51" s="40">
        <f t="shared" si="8"/>
        <v>63343717.301538035</v>
      </c>
      <c r="X51" s="6"/>
      <c r="Y51" s="6"/>
      <c r="Z51" s="25"/>
      <c r="AA51" s="6"/>
      <c r="AB51" s="6"/>
      <c r="AC51" s="37" t="str">
        <f t="shared" si="1"/>
        <v>Subttl Prod, Trans, &amp; Dist</v>
      </c>
      <c r="AD51" s="36"/>
      <c r="AE51" s="6"/>
      <c r="AF51" s="6"/>
      <c r="AG51" s="6"/>
      <c r="AH51" s="6"/>
      <c r="AI51" s="6"/>
    </row>
    <row r="52" spans="1:42" ht="16.5" x14ac:dyDescent="0.3">
      <c r="A52" s="19"/>
      <c r="B52" s="26" t="str">
        <f>IF(OverheadAlloc="Expenses","E-GTDC","L-GTDC")</f>
        <v>E-GTDC</v>
      </c>
      <c r="C52" s="26" t="s">
        <v>529</v>
      </c>
      <c r="D52" s="1">
        <f t="shared" si="6"/>
        <v>36</v>
      </c>
      <c r="E52" s="6" t="s">
        <v>92</v>
      </c>
      <c r="F52" s="22">
        <v>233673560.37378234</v>
      </c>
      <c r="G52" s="22">
        <f t="shared" ref="G52:V52" si="9">$F52*VLOOKUP($B52,RatiosIslInt,G$561,FALSE)</f>
        <v>109613188.71113729</v>
      </c>
      <c r="H52" s="22">
        <f t="shared" si="9"/>
        <v>38726936.458705202</v>
      </c>
      <c r="I52" s="22">
        <f t="shared" si="9"/>
        <v>47661907.775961466</v>
      </c>
      <c r="J52" s="22">
        <f t="shared" si="9"/>
        <v>6622265.1242753835</v>
      </c>
      <c r="K52" s="22">
        <f t="shared" si="9"/>
        <v>4454820.038502994</v>
      </c>
      <c r="L52" s="22">
        <f t="shared" si="9"/>
        <v>8401746.3874874245</v>
      </c>
      <c r="M52" s="22">
        <f t="shared" si="9"/>
        <v>2292137.9144732938</v>
      </c>
      <c r="N52" s="22">
        <f t="shared" si="9"/>
        <v>700607.58116655645</v>
      </c>
      <c r="O52" s="22">
        <f t="shared" si="9"/>
        <v>1240133.6409014668</v>
      </c>
      <c r="P52" s="22">
        <f t="shared" si="9"/>
        <v>1213853.2103538285</v>
      </c>
      <c r="Q52" s="22">
        <f t="shared" si="9"/>
        <v>1377523.0999527534</v>
      </c>
      <c r="R52" s="22">
        <f t="shared" si="9"/>
        <v>404531.28031111218</v>
      </c>
      <c r="S52" s="22">
        <f t="shared" si="9"/>
        <v>1239176.7510189347</v>
      </c>
      <c r="T52" s="22">
        <f t="shared" si="9"/>
        <v>345175.82430718624</v>
      </c>
      <c r="U52" s="22">
        <f t="shared" si="9"/>
        <v>7543899.3673740365</v>
      </c>
      <c r="V52" s="22">
        <f t="shared" si="9"/>
        <v>1835657.2078534074</v>
      </c>
      <c r="X52" s="6"/>
      <c r="Y52" s="6"/>
      <c r="Z52" s="25"/>
      <c r="AA52" s="6"/>
      <c r="AB52" s="6"/>
      <c r="AC52" s="6" t="str">
        <f t="shared" si="1"/>
        <v>General</v>
      </c>
      <c r="AD52" s="6"/>
      <c r="AE52" s="27" t="str">
        <f>+"Prorated on Subtotal Production, Transmission, Distribution, Accounting Expenses - Sch G 2.4 L."&amp;$D$250&amp;", "&amp;$D$252</f>
        <v>Prorated on Subtotal Production, Transmission, Distribution, Accounting Expenses - Sch G 2.4 L.15, 16</v>
      </c>
      <c r="AF52" s="6"/>
      <c r="AG52" s="6"/>
      <c r="AH52" s="6"/>
      <c r="AI52" s="6"/>
    </row>
    <row r="53" spans="1:42" ht="16.5" x14ac:dyDescent="0.3">
      <c r="A53" s="28"/>
      <c r="B53" s="28"/>
      <c r="C53" s="26" t="s">
        <v>93</v>
      </c>
      <c r="D53" s="1">
        <f t="shared" si="6"/>
        <v>37</v>
      </c>
      <c r="E53" s="6" t="s">
        <v>94</v>
      </c>
      <c r="F53" s="22">
        <v>1935320.4049999949</v>
      </c>
      <c r="G53" s="23">
        <f t="shared" ref="G53:V53" si="10">$F53*(G$51/SUM($G$51:$V$51))</f>
        <v>735793.05970086576</v>
      </c>
      <c r="H53" s="23">
        <f t="shared" si="10"/>
        <v>398160.97362875484</v>
      </c>
      <c r="I53" s="23">
        <f t="shared" si="10"/>
        <v>496596.91665035271</v>
      </c>
      <c r="J53" s="23">
        <f t="shared" si="10"/>
        <v>74920.356248144264</v>
      </c>
      <c r="K53" s="23">
        <f t="shared" si="10"/>
        <v>38635.771157364128</v>
      </c>
      <c r="L53" s="23">
        <f t="shared" si="10"/>
        <v>77329.294988336522</v>
      </c>
      <c r="M53" s="23">
        <f t="shared" si="10"/>
        <v>21096.734032132925</v>
      </c>
      <c r="N53" s="23">
        <f t="shared" si="10"/>
        <v>6448.3605927190529</v>
      </c>
      <c r="O53" s="23">
        <f t="shared" si="10"/>
        <v>11414.134123954225</v>
      </c>
      <c r="P53" s="23">
        <f t="shared" si="10"/>
        <v>11172.250225951137</v>
      </c>
      <c r="Q53" s="23">
        <f t="shared" si="10"/>
        <v>12678.660511359512</v>
      </c>
      <c r="R53" s="23">
        <f t="shared" si="10"/>
        <v>3723.2876671658832</v>
      </c>
      <c r="S53" s="23">
        <f t="shared" si="10"/>
        <v>5900.7634859956279</v>
      </c>
      <c r="T53" s="23">
        <f t="shared" si="10"/>
        <v>3176.9827259300355</v>
      </c>
      <c r="U53" s="23">
        <f t="shared" si="10"/>
        <v>0</v>
      </c>
      <c r="V53" s="23">
        <f t="shared" si="10"/>
        <v>38272.859260968362</v>
      </c>
      <c r="X53" s="6"/>
      <c r="Y53" s="6"/>
      <c r="Z53" s="25"/>
      <c r="AA53" s="6"/>
      <c r="AB53" s="6"/>
      <c r="AC53" s="6"/>
      <c r="AD53" s="6"/>
      <c r="AE53" s="6"/>
      <c r="AF53" s="6"/>
      <c r="AG53" s="6"/>
      <c r="AH53" s="6"/>
      <c r="AI53" s="6"/>
    </row>
    <row r="54" spans="1:42" ht="16.5" x14ac:dyDescent="0.3">
      <c r="A54" s="28"/>
      <c r="B54" s="28"/>
      <c r="C54" s="26" t="s">
        <v>526</v>
      </c>
      <c r="D54" s="1">
        <f t="shared" si="6"/>
        <v>38</v>
      </c>
      <c r="E54" s="6" t="s">
        <v>95</v>
      </c>
      <c r="F54" s="34">
        <f>SUM(G54:V54)</f>
        <v>0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34">
        <v>0</v>
      </c>
      <c r="U54" s="22">
        <v>0</v>
      </c>
      <c r="V54" s="22">
        <v>0</v>
      </c>
      <c r="X54" s="6"/>
      <c r="Y54" s="6"/>
      <c r="Z54" s="25"/>
      <c r="AA54" s="6"/>
      <c r="AB54" s="6"/>
      <c r="AC54" s="6" t="str">
        <f t="shared" si="1"/>
        <v>Telecontrol - Custmr &amp; Spec</v>
      </c>
      <c r="AD54" s="6"/>
      <c r="AE54" s="6" t="s">
        <v>96</v>
      </c>
      <c r="AF54" s="6"/>
      <c r="AG54" s="6"/>
      <c r="AH54" s="6"/>
      <c r="AI54" s="6"/>
    </row>
    <row r="55" spans="1:42" ht="16.5" x14ac:dyDescent="0.3">
      <c r="A55" s="28"/>
      <c r="B55" s="28"/>
      <c r="C55" s="26" t="s">
        <v>527</v>
      </c>
      <c r="D55" s="1">
        <f t="shared" si="6"/>
        <v>39</v>
      </c>
      <c r="E55" s="6" t="s">
        <v>97</v>
      </c>
      <c r="F55" s="22">
        <f>SUM(G55:V55)</f>
        <v>-180126.59000000008</v>
      </c>
      <c r="G55" s="22">
        <v>-180126.59000000008</v>
      </c>
      <c r="H55" s="23">
        <v>0</v>
      </c>
      <c r="I55" s="34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>
        <v>0</v>
      </c>
      <c r="X55" s="6"/>
      <c r="Y55" s="6"/>
      <c r="Z55" s="25"/>
      <c r="AA55" s="6"/>
      <c r="AB55" s="6"/>
      <c r="AC55" s="6" t="str">
        <f t="shared" si="1"/>
        <v>Feasibility Studies</v>
      </c>
      <c r="AD55" s="6"/>
      <c r="AE55" s="6" t="s">
        <v>98</v>
      </c>
      <c r="AF55" s="6"/>
      <c r="AG55" s="6"/>
      <c r="AH55" s="6"/>
      <c r="AI55" s="6"/>
    </row>
    <row r="56" spans="1:42" ht="16.5" x14ac:dyDescent="0.3">
      <c r="A56" s="28"/>
      <c r="B56" s="28"/>
      <c r="C56" s="26" t="s">
        <v>99</v>
      </c>
      <c r="D56" s="1">
        <f t="shared" si="6"/>
        <v>40</v>
      </c>
      <c r="E56" s="6" t="s">
        <v>100</v>
      </c>
      <c r="F56" s="22">
        <v>0</v>
      </c>
      <c r="G56" s="23">
        <f t="shared" ref="G56:V57" si="11">$F56*(G$51/SUM($G$51:$V$51))</f>
        <v>0</v>
      </c>
      <c r="H56" s="23">
        <f t="shared" si="11"/>
        <v>0</v>
      </c>
      <c r="I56" s="23">
        <f t="shared" si="11"/>
        <v>0</v>
      </c>
      <c r="J56" s="23">
        <f t="shared" si="11"/>
        <v>0</v>
      </c>
      <c r="K56" s="23">
        <f t="shared" si="11"/>
        <v>0</v>
      </c>
      <c r="L56" s="23">
        <f t="shared" si="11"/>
        <v>0</v>
      </c>
      <c r="M56" s="23">
        <f t="shared" si="11"/>
        <v>0</v>
      </c>
      <c r="N56" s="23">
        <f t="shared" si="11"/>
        <v>0</v>
      </c>
      <c r="O56" s="23">
        <f t="shared" si="11"/>
        <v>0</v>
      </c>
      <c r="P56" s="23">
        <f t="shared" si="11"/>
        <v>0</v>
      </c>
      <c r="Q56" s="23">
        <f t="shared" si="11"/>
        <v>0</v>
      </c>
      <c r="R56" s="23">
        <f t="shared" si="11"/>
        <v>0</v>
      </c>
      <c r="S56" s="23">
        <f t="shared" si="11"/>
        <v>0</v>
      </c>
      <c r="T56" s="23">
        <f t="shared" si="11"/>
        <v>0</v>
      </c>
      <c r="U56" s="23">
        <f t="shared" si="11"/>
        <v>0</v>
      </c>
      <c r="V56" s="23">
        <f t="shared" si="11"/>
        <v>0</v>
      </c>
      <c r="X56" s="6"/>
      <c r="Y56" s="6"/>
      <c r="Z56" s="25"/>
      <c r="AA56" s="6"/>
      <c r="AB56" s="6"/>
      <c r="AC56" s="6" t="str">
        <f t="shared" si="1"/>
        <v>Feasibility Studies - General</v>
      </c>
      <c r="AD56" s="6"/>
      <c r="AE56" s="6" t="str">
        <f>+"Prorated on subtotal Production, Transmission, &amp; Distribution plant - L."&amp;$D$51</f>
        <v>Prorated on subtotal Production, Transmission, &amp; Distribution plant - L.35</v>
      </c>
      <c r="AF56" s="6"/>
      <c r="AG56" s="6"/>
      <c r="AH56" s="6"/>
      <c r="AI56" s="6"/>
    </row>
    <row r="57" spans="1:42" ht="16.5" x14ac:dyDescent="0.3">
      <c r="A57" s="28"/>
      <c r="B57" s="28"/>
      <c r="C57" s="26" t="s">
        <v>530</v>
      </c>
      <c r="D57" s="1">
        <f>MAX(D55:D56)+NoOne</f>
        <v>41</v>
      </c>
      <c r="E57" s="6" t="s">
        <v>101</v>
      </c>
      <c r="F57" s="22">
        <v>13917263.201105686</v>
      </c>
      <c r="G57" s="22">
        <f t="shared" si="11"/>
        <v>5291230.1482212944</v>
      </c>
      <c r="H57" s="23">
        <f t="shared" si="11"/>
        <v>2863252.5405527856</v>
      </c>
      <c r="I57" s="23">
        <f t="shared" si="11"/>
        <v>3571124.4381162398</v>
      </c>
      <c r="J57" s="23">
        <f t="shared" si="11"/>
        <v>538766.76664607855</v>
      </c>
      <c r="K57" s="23">
        <f t="shared" si="11"/>
        <v>277837.30011089594</v>
      </c>
      <c r="L57" s="23">
        <f t="shared" si="11"/>
        <v>556089.91086342884</v>
      </c>
      <c r="M57" s="23">
        <f t="shared" si="11"/>
        <v>151710.6932011696</v>
      </c>
      <c r="N57" s="23">
        <f t="shared" si="11"/>
        <v>46371.407727966965</v>
      </c>
      <c r="O57" s="23">
        <f t="shared" si="11"/>
        <v>82081.245258091119</v>
      </c>
      <c r="P57" s="23">
        <f t="shared" si="11"/>
        <v>80341.811382480024</v>
      </c>
      <c r="Q57" s="23">
        <f t="shared" si="11"/>
        <v>91174.698989470955</v>
      </c>
      <c r="R57" s="23">
        <f t="shared" si="11"/>
        <v>26774.881463298847</v>
      </c>
      <c r="S57" s="23">
        <f t="shared" si="11"/>
        <v>42433.531062819173</v>
      </c>
      <c r="T57" s="23">
        <f t="shared" si="11"/>
        <v>22846.297009995422</v>
      </c>
      <c r="U57" s="23">
        <f t="shared" si="11"/>
        <v>0</v>
      </c>
      <c r="V57" s="23">
        <f t="shared" si="11"/>
        <v>275227.53049967106</v>
      </c>
      <c r="X57" s="6"/>
      <c r="Y57" s="6"/>
      <c r="Z57" s="25"/>
      <c r="AA57" s="6"/>
      <c r="AB57" s="6"/>
      <c r="AC57" s="6" t="str">
        <f t="shared" si="1"/>
        <v>Software - General</v>
      </c>
      <c r="AD57" s="6"/>
      <c r="AE57" s="6" t="str">
        <f>+"Prorated on subtotal Production, Transmission, &amp; Distribution plant - L."&amp;$D$51</f>
        <v>Prorated on subtotal Production, Transmission, &amp; Distribution plant - L.35</v>
      </c>
      <c r="AF57" s="6"/>
      <c r="AG57" s="6"/>
      <c r="AH57" s="6"/>
      <c r="AI57" s="6"/>
    </row>
    <row r="58" spans="1:42" ht="17.25" thickBot="1" x14ac:dyDescent="0.35">
      <c r="A58" s="28">
        <f>SUM(G58:V58)-F58</f>
        <v>0</v>
      </c>
      <c r="B58" s="28"/>
      <c r="C58" s="29" t="s">
        <v>39</v>
      </c>
      <c r="D58" s="1">
        <f>MAX(D55:D57)+NoOne</f>
        <v>42</v>
      </c>
      <c r="E58" s="20" t="s">
        <v>102</v>
      </c>
      <c r="F58" s="41">
        <f t="shared" ref="F58:V58" si="12">SUM(F51:F57)</f>
        <v>3452409258.2708378</v>
      </c>
      <c r="G58" s="41">
        <f t="shared" si="12"/>
        <v>1333238648.6792307</v>
      </c>
      <c r="H58" s="41">
        <f t="shared" si="12"/>
        <v>700966974.54003537</v>
      </c>
      <c r="I58" s="41">
        <f t="shared" si="12"/>
        <v>873625231.093117</v>
      </c>
      <c r="J58" s="41">
        <f t="shared" si="12"/>
        <v>131233321.60893008</v>
      </c>
      <c r="K58" s="41">
        <f t="shared" si="12"/>
        <v>68715649.846526578</v>
      </c>
      <c r="L58" s="41">
        <f t="shared" si="12"/>
        <v>137019462.96366572</v>
      </c>
      <c r="M58" s="41">
        <f t="shared" si="12"/>
        <v>37381217.141655549</v>
      </c>
      <c r="N58" s="41">
        <f t="shared" si="12"/>
        <v>11425823.881411238</v>
      </c>
      <c r="O58" s="41">
        <f t="shared" si="12"/>
        <v>20224657.784547877</v>
      </c>
      <c r="P58" s="41">
        <f t="shared" si="12"/>
        <v>19796064.690443754</v>
      </c>
      <c r="Q58" s="41">
        <f t="shared" si="12"/>
        <v>22465266.942200094</v>
      </c>
      <c r="R58" s="41">
        <f t="shared" si="12"/>
        <v>6597278.2590511953</v>
      </c>
      <c r="S58" s="41">
        <f t="shared" si="12"/>
        <v>11053603.815682048</v>
      </c>
      <c r="T58" s="41">
        <f t="shared" si="12"/>
        <v>5629282.7578142714</v>
      </c>
      <c r="U58" s="41">
        <f t="shared" si="12"/>
        <v>7543899.3673740365</v>
      </c>
      <c r="V58" s="41">
        <f t="shared" si="12"/>
        <v>65492874.899152085</v>
      </c>
      <c r="X58" s="6"/>
      <c r="Y58" s="6"/>
      <c r="Z58" s="25"/>
      <c r="AA58" s="6"/>
      <c r="AB58" s="6"/>
      <c r="AC58" s="20" t="str">
        <f t="shared" si="1"/>
        <v>Total Plant</v>
      </c>
      <c r="AD58" s="6"/>
      <c r="AE58" s="6"/>
      <c r="AF58" s="6"/>
      <c r="AG58" s="6"/>
      <c r="AH58" s="6"/>
      <c r="AI58" s="6"/>
    </row>
    <row r="59" spans="1:42" ht="17.25" thickTop="1" x14ac:dyDescent="0.3">
      <c r="A59" s="28"/>
      <c r="B59" s="28"/>
      <c r="C59" s="26"/>
      <c r="D59" s="1"/>
      <c r="E59" s="6"/>
      <c r="F59" s="6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P59" s="1"/>
    </row>
    <row r="60" spans="1:42" ht="16.5" x14ac:dyDescent="0.3">
      <c r="A60" s="28"/>
      <c r="B60" s="28"/>
      <c r="C60" s="26"/>
      <c r="D60" s="1"/>
      <c r="E60" s="6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</row>
    <row r="61" spans="1:42" ht="16.5" x14ac:dyDescent="0.3">
      <c r="A61" s="28"/>
      <c r="B61" s="28"/>
      <c r="C61" s="26"/>
      <c r="D61" s="1"/>
      <c r="E61" s="6"/>
      <c r="F61" s="6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42" t="s">
        <v>487</v>
      </c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</row>
    <row r="62" spans="1:42" ht="16.5" x14ac:dyDescent="0.3">
      <c r="A62" s="28"/>
      <c r="B62" s="28"/>
      <c r="C62" s="26"/>
      <c r="D62" s="1"/>
      <c r="E62" s="6"/>
      <c r="F62" s="6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42" t="s">
        <v>104</v>
      </c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</row>
    <row r="63" spans="1:42" ht="16.5" x14ac:dyDescent="0.3">
      <c r="A63" s="43"/>
      <c r="B63" s="43"/>
      <c r="C63" s="44"/>
      <c r="D63" s="8" t="str">
        <f>D5</f>
        <v>NEWFOUNDLAND AND LABRADOR HYDRO</v>
      </c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10"/>
      <c r="X63" s="6"/>
      <c r="Y63" s="6"/>
      <c r="Z63" s="6"/>
      <c r="AA63" s="6"/>
      <c r="AB63" s="6"/>
      <c r="AC63" s="10"/>
      <c r="AD63" s="6"/>
      <c r="AE63" s="6"/>
      <c r="AF63" s="6"/>
      <c r="AG63" s="6"/>
      <c r="AH63" s="6"/>
      <c r="AI63" s="6"/>
    </row>
    <row r="64" spans="1:42" ht="16.5" x14ac:dyDescent="0.3">
      <c r="A64" s="43"/>
      <c r="B64" s="43"/>
      <c r="C64" s="44"/>
      <c r="D64" s="8" t="str">
        <f>D6</f>
        <v>2027 Test Year Cost of Service Study (No Rate Mitigation)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10"/>
      <c r="X64" s="6"/>
      <c r="Y64" s="6"/>
      <c r="Z64" s="6"/>
      <c r="AA64" s="6"/>
      <c r="AB64" s="6"/>
      <c r="AC64" s="10"/>
      <c r="AD64" s="6"/>
      <c r="AE64" s="6"/>
      <c r="AF64" s="6"/>
      <c r="AG64" s="6"/>
      <c r="AH64" s="6"/>
      <c r="AI64" s="6"/>
    </row>
    <row r="65" spans="1:35" ht="16.5" x14ac:dyDescent="0.3">
      <c r="A65" s="43"/>
      <c r="B65" s="43"/>
      <c r="C65" s="44"/>
      <c r="D65" s="8" t="str">
        <f>$B$1</f>
        <v>Island Interconnected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10"/>
      <c r="X65" s="6"/>
      <c r="Y65" s="6"/>
      <c r="Z65" s="6"/>
      <c r="AA65" s="6"/>
      <c r="AB65" s="6"/>
      <c r="AC65" s="10"/>
      <c r="AD65" s="6"/>
      <c r="AE65" s="6"/>
      <c r="AF65" s="6"/>
      <c r="AG65" s="6"/>
      <c r="AH65" s="6"/>
      <c r="AI65" s="6"/>
    </row>
    <row r="66" spans="1:35" ht="16.5" x14ac:dyDescent="0.3">
      <c r="A66" s="43"/>
      <c r="B66" s="43"/>
      <c r="C66" s="44"/>
      <c r="D66" s="8" t="s">
        <v>105</v>
      </c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10"/>
      <c r="X66" s="6"/>
      <c r="Y66" s="6"/>
      <c r="Z66" s="6"/>
      <c r="AA66" s="6"/>
      <c r="AB66" s="6"/>
      <c r="AC66" s="10"/>
      <c r="AD66" s="6"/>
      <c r="AE66" s="6"/>
      <c r="AF66" s="6"/>
      <c r="AG66" s="6"/>
      <c r="AH66" s="6"/>
      <c r="AI66" s="6"/>
    </row>
    <row r="67" spans="1:35" ht="16.5" x14ac:dyDescent="0.3">
      <c r="A67" s="45"/>
      <c r="B67" s="45"/>
      <c r="C67" s="45"/>
      <c r="D67" s="1"/>
      <c r="E67" s="1">
        <f t="shared" ref="E67:V67" si="13">MAX(D67)+NoOne</f>
        <v>1</v>
      </c>
      <c r="F67" s="1">
        <f t="shared" si="13"/>
        <v>2</v>
      </c>
      <c r="G67" s="1">
        <f t="shared" si="13"/>
        <v>3</v>
      </c>
      <c r="H67" s="1">
        <f t="shared" si="13"/>
        <v>4</v>
      </c>
      <c r="I67" s="1">
        <f t="shared" si="13"/>
        <v>5</v>
      </c>
      <c r="J67" s="1">
        <f t="shared" si="13"/>
        <v>6</v>
      </c>
      <c r="K67" s="1">
        <f t="shared" si="13"/>
        <v>7</v>
      </c>
      <c r="L67" s="1">
        <f t="shared" si="13"/>
        <v>8</v>
      </c>
      <c r="M67" s="1">
        <f t="shared" si="13"/>
        <v>9</v>
      </c>
      <c r="N67" s="1">
        <f t="shared" si="13"/>
        <v>10</v>
      </c>
      <c r="O67" s="1">
        <f t="shared" si="13"/>
        <v>11</v>
      </c>
      <c r="P67" s="1">
        <f t="shared" si="13"/>
        <v>12</v>
      </c>
      <c r="Q67" s="1">
        <f t="shared" si="13"/>
        <v>13</v>
      </c>
      <c r="R67" s="1">
        <f t="shared" si="13"/>
        <v>14</v>
      </c>
      <c r="S67" s="1">
        <f t="shared" si="13"/>
        <v>15</v>
      </c>
      <c r="T67" s="1">
        <f t="shared" si="13"/>
        <v>16</v>
      </c>
      <c r="U67" s="1">
        <f t="shared" si="13"/>
        <v>17</v>
      </c>
      <c r="V67" s="1">
        <f t="shared" si="13"/>
        <v>18</v>
      </c>
      <c r="X67" s="6"/>
      <c r="Y67" s="6"/>
      <c r="Z67" s="6"/>
      <c r="AA67" s="6"/>
      <c r="AB67" s="6"/>
      <c r="AC67" s="13"/>
      <c r="AD67" s="6"/>
      <c r="AE67" s="6"/>
      <c r="AF67" s="6"/>
      <c r="AG67" s="6"/>
      <c r="AH67" s="6"/>
      <c r="AI67" s="6"/>
    </row>
    <row r="68" spans="1:35" s="12" customFormat="1" ht="16.5" x14ac:dyDescent="0.3">
      <c r="A68" s="45"/>
      <c r="B68" s="45"/>
      <c r="C68" s="46"/>
      <c r="D68" s="1"/>
      <c r="E68" s="13"/>
      <c r="F68" s="25"/>
      <c r="G68" s="13"/>
      <c r="H68" s="13"/>
      <c r="J68" s="13" t="s">
        <v>8</v>
      </c>
      <c r="K68" s="47" t="s">
        <v>9</v>
      </c>
      <c r="L68" s="47"/>
      <c r="M68" s="47"/>
      <c r="N68" s="47"/>
      <c r="O68" s="47"/>
      <c r="P68" s="47"/>
      <c r="Q68" s="47"/>
      <c r="R68" s="47"/>
      <c r="S68" s="47"/>
      <c r="T68" s="47"/>
      <c r="U68" s="23"/>
      <c r="V68" s="25" t="s">
        <v>10</v>
      </c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</row>
    <row r="69" spans="1:35" s="12" customFormat="1" ht="16.5" x14ac:dyDescent="0.3">
      <c r="A69" s="45"/>
      <c r="B69" s="45"/>
      <c r="C69" s="46"/>
      <c r="D69" s="1" t="s">
        <v>14</v>
      </c>
      <c r="E69" s="13"/>
      <c r="F69" s="25" t="s">
        <v>15</v>
      </c>
      <c r="G69" s="13" t="s">
        <v>16</v>
      </c>
      <c r="H69" s="13" t="s">
        <v>16</v>
      </c>
      <c r="I69" s="13" t="s">
        <v>17</v>
      </c>
      <c r="J69" s="25" t="s">
        <v>17</v>
      </c>
      <c r="K69" s="25" t="s">
        <v>18</v>
      </c>
      <c r="L69" s="47" t="s">
        <v>19</v>
      </c>
      <c r="M69" s="47"/>
      <c r="N69" s="47" t="s">
        <v>20</v>
      </c>
      <c r="O69" s="47"/>
      <c r="P69" s="47" t="s">
        <v>21</v>
      </c>
      <c r="Q69" s="47"/>
      <c r="R69" s="48" t="s">
        <v>22</v>
      </c>
      <c r="S69" s="48" t="s">
        <v>23</v>
      </c>
      <c r="T69" s="49" t="s">
        <v>24</v>
      </c>
      <c r="U69" s="48" t="s">
        <v>25</v>
      </c>
      <c r="V69" s="25" t="s">
        <v>26</v>
      </c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</row>
    <row r="70" spans="1:35" s="12" customFormat="1" ht="16.5" x14ac:dyDescent="0.3">
      <c r="A70" s="45"/>
      <c r="B70" s="45"/>
      <c r="C70" s="46"/>
      <c r="D70" s="1" t="s">
        <v>30</v>
      </c>
      <c r="E70" s="13" t="s">
        <v>31</v>
      </c>
      <c r="F70" s="25" t="s">
        <v>32</v>
      </c>
      <c r="G70" s="25" t="s">
        <v>33</v>
      </c>
      <c r="H70" s="25" t="s">
        <v>34</v>
      </c>
      <c r="I70" s="13" t="s">
        <v>33</v>
      </c>
      <c r="J70" s="25" t="s">
        <v>33</v>
      </c>
      <c r="K70" s="25" t="s">
        <v>33</v>
      </c>
      <c r="L70" s="25" t="s">
        <v>33</v>
      </c>
      <c r="M70" s="25" t="s">
        <v>35</v>
      </c>
      <c r="N70" s="25" t="s">
        <v>33</v>
      </c>
      <c r="O70" s="25" t="s">
        <v>35</v>
      </c>
      <c r="P70" s="25" t="s">
        <v>33</v>
      </c>
      <c r="Q70" s="25" t="s">
        <v>35</v>
      </c>
      <c r="R70" s="25" t="s">
        <v>35</v>
      </c>
      <c r="S70" s="25" t="s">
        <v>35</v>
      </c>
      <c r="T70" s="25" t="s">
        <v>35</v>
      </c>
      <c r="U70" s="25" t="s">
        <v>35</v>
      </c>
      <c r="V70" s="25" t="s">
        <v>35</v>
      </c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</row>
    <row r="71" spans="1:35" ht="16.5" customHeight="1" x14ac:dyDescent="0.3">
      <c r="A71" s="28"/>
      <c r="B71" s="28"/>
      <c r="C71" s="26"/>
      <c r="D71" s="1"/>
      <c r="E71" s="20" t="s">
        <v>16</v>
      </c>
      <c r="F71" s="25" t="s">
        <v>37</v>
      </c>
      <c r="G71" s="25" t="s">
        <v>37</v>
      </c>
      <c r="H71" s="25" t="s">
        <v>37</v>
      </c>
      <c r="I71" s="13" t="s">
        <v>37</v>
      </c>
      <c r="J71" s="25" t="s">
        <v>37</v>
      </c>
      <c r="K71" s="25" t="s">
        <v>37</v>
      </c>
      <c r="L71" s="25" t="s">
        <v>37</v>
      </c>
      <c r="M71" s="25" t="s">
        <v>37</v>
      </c>
      <c r="N71" s="25" t="s">
        <v>37</v>
      </c>
      <c r="O71" s="25" t="s">
        <v>37</v>
      </c>
      <c r="P71" s="25" t="s">
        <v>37</v>
      </c>
      <c r="Q71" s="25" t="s">
        <v>37</v>
      </c>
      <c r="R71" s="25" t="s">
        <v>37</v>
      </c>
      <c r="S71" s="25" t="s">
        <v>37</v>
      </c>
      <c r="T71" s="25" t="s">
        <v>37</v>
      </c>
      <c r="U71" s="25" t="s">
        <v>37</v>
      </c>
      <c r="V71" s="25" t="s">
        <v>37</v>
      </c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</row>
    <row r="72" spans="1:35" ht="16.5" x14ac:dyDescent="0.3">
      <c r="A72" s="28"/>
      <c r="B72" s="28"/>
      <c r="C72" s="26"/>
      <c r="D72" s="1"/>
      <c r="E72" s="20" t="s">
        <v>38</v>
      </c>
      <c r="F72" s="22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X72" s="6"/>
      <c r="Y72" s="6"/>
      <c r="Z72" s="6"/>
      <c r="AA72" s="6"/>
      <c r="AB72" s="6"/>
      <c r="AC72" s="20"/>
      <c r="AD72" s="6"/>
      <c r="AE72" s="6"/>
      <c r="AF72" s="6"/>
      <c r="AG72" s="6"/>
      <c r="AH72" s="6"/>
      <c r="AI72" s="6"/>
    </row>
    <row r="73" spans="1:35" ht="16.5" x14ac:dyDescent="0.3">
      <c r="A73" s="28"/>
      <c r="B73" s="28"/>
      <c r="C73" s="24" t="s">
        <v>40</v>
      </c>
      <c r="D73" s="1">
        <f t="shared" ref="D73:D87" si="14">MAX(D70:D72)+NoOne</f>
        <v>1</v>
      </c>
      <c r="E73" s="6" t="s">
        <v>41</v>
      </c>
      <c r="F73" s="22">
        <v>817319521.66252077</v>
      </c>
      <c r="G73" s="23">
        <v>406311733.54121149</v>
      </c>
      <c r="H73" s="23">
        <v>411007788.12130928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23">
        <v>0</v>
      </c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</row>
    <row r="74" spans="1:35" ht="16.5" x14ac:dyDescent="0.3">
      <c r="A74" s="28"/>
      <c r="B74" s="28"/>
      <c r="C74" s="26" t="s">
        <v>42</v>
      </c>
      <c r="D74" s="1">
        <f t="shared" si="14"/>
        <v>2</v>
      </c>
      <c r="E74" s="6" t="s">
        <v>43</v>
      </c>
      <c r="F74" s="22">
        <v>-308182.98499999999</v>
      </c>
      <c r="G74" s="23">
        <v>-153206.13244199377</v>
      </c>
      <c r="H74" s="23">
        <v>-154976.85255800621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23">
        <v>0</v>
      </c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</row>
    <row r="75" spans="1:35" ht="16.5" x14ac:dyDescent="0.3">
      <c r="A75" s="28"/>
      <c r="B75" s="28"/>
      <c r="C75" s="24" t="s">
        <v>44</v>
      </c>
      <c r="D75" s="1">
        <f t="shared" si="14"/>
        <v>3</v>
      </c>
      <c r="E75" s="6" t="s">
        <v>45</v>
      </c>
      <c r="F75" s="22">
        <v>2850569.4550000001</v>
      </c>
      <c r="G75" s="23">
        <v>1417095.5007715046</v>
      </c>
      <c r="H75" s="23">
        <v>1433473.9542284955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23">
        <v>0</v>
      </c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</row>
    <row r="76" spans="1:35" ht="16.5" x14ac:dyDescent="0.3">
      <c r="A76" s="28"/>
      <c r="B76" s="28"/>
      <c r="C76" s="24" t="s">
        <v>46</v>
      </c>
      <c r="D76" s="1">
        <f t="shared" si="14"/>
        <v>4</v>
      </c>
      <c r="E76" s="6" t="s">
        <v>47</v>
      </c>
      <c r="F76" s="22">
        <v>-92282.899999999965</v>
      </c>
      <c r="G76" s="23">
        <v>-45876.336097955776</v>
      </c>
      <c r="H76" s="23">
        <v>-46406.563902044189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23">
        <v>0</v>
      </c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</row>
    <row r="77" spans="1:35" ht="16.5" x14ac:dyDescent="0.3">
      <c r="A77" s="28"/>
      <c r="B77" s="28"/>
      <c r="C77" s="24" t="s">
        <v>48</v>
      </c>
      <c r="D77" s="1">
        <f t="shared" si="14"/>
        <v>5</v>
      </c>
      <c r="E77" s="6" t="s">
        <v>49</v>
      </c>
      <c r="F77" s="22">
        <v>-34787.985000000008</v>
      </c>
      <c r="G77" s="23">
        <v>-17294.052224525291</v>
      </c>
      <c r="H77" s="23">
        <v>-17493.932775474717</v>
      </c>
      <c r="I77" s="23">
        <v>0</v>
      </c>
      <c r="J77" s="23">
        <v>0</v>
      </c>
      <c r="K77" s="23">
        <v>0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23">
        <v>0</v>
      </c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</row>
    <row r="78" spans="1:35" ht="16.5" x14ac:dyDescent="0.3">
      <c r="A78" s="28"/>
      <c r="B78" s="28"/>
      <c r="C78" s="24" t="s">
        <v>50</v>
      </c>
      <c r="D78" s="1">
        <f t="shared" si="14"/>
        <v>6</v>
      </c>
      <c r="E78" s="6" t="s">
        <v>51</v>
      </c>
      <c r="F78" s="22">
        <v>-32688.744999999966</v>
      </c>
      <c r="G78" s="23">
        <v>-16250.463002792179</v>
      </c>
      <c r="H78" s="23">
        <v>-16438.281997207789</v>
      </c>
      <c r="I78" s="23">
        <v>0</v>
      </c>
      <c r="J78" s="23">
        <v>0</v>
      </c>
      <c r="K78" s="23">
        <v>0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23">
        <v>0</v>
      </c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</row>
    <row r="79" spans="1:35" ht="16.5" x14ac:dyDescent="0.3">
      <c r="A79" s="28"/>
      <c r="B79" s="28"/>
      <c r="C79" s="24" t="s">
        <v>52</v>
      </c>
      <c r="D79" s="1">
        <f t="shared" si="14"/>
        <v>7</v>
      </c>
      <c r="E79" s="6" t="s">
        <v>53</v>
      </c>
      <c r="F79" s="22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23">
        <v>0</v>
      </c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</row>
    <row r="80" spans="1:35" ht="16.5" x14ac:dyDescent="0.3">
      <c r="A80" s="28"/>
      <c r="B80" s="28"/>
      <c r="C80" s="24" t="s">
        <v>54</v>
      </c>
      <c r="D80" s="1">
        <f t="shared" si="14"/>
        <v>8</v>
      </c>
      <c r="E80" s="6" t="s">
        <v>55</v>
      </c>
      <c r="F80" s="22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</row>
    <row r="81" spans="1:42" ht="16.5" x14ac:dyDescent="0.3">
      <c r="A81" s="28"/>
      <c r="B81" s="28"/>
      <c r="C81" s="24" t="s">
        <v>56</v>
      </c>
      <c r="D81" s="1">
        <f t="shared" si="14"/>
        <v>9</v>
      </c>
      <c r="E81" s="6" t="s">
        <v>106</v>
      </c>
      <c r="F81" s="22">
        <v>264354.35499999998</v>
      </c>
      <c r="G81" s="23">
        <v>131417.73003382338</v>
      </c>
      <c r="H81" s="23">
        <v>132936.62496617661</v>
      </c>
      <c r="I81" s="23">
        <v>0</v>
      </c>
      <c r="J81" s="23">
        <v>0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23">
        <v>0</v>
      </c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</row>
    <row r="82" spans="1:42" ht="16.5" x14ac:dyDescent="0.3">
      <c r="A82" s="28">
        <f>SUM(G82:V82)-F82</f>
        <v>0</v>
      </c>
      <c r="B82" s="28"/>
      <c r="C82" s="29" t="s">
        <v>39</v>
      </c>
      <c r="D82" s="1">
        <f t="shared" si="14"/>
        <v>10</v>
      </c>
      <c r="E82" s="20" t="s">
        <v>58</v>
      </c>
      <c r="F82" s="30">
        <f>SUM(F73:F81)</f>
        <v>819966502.85752082</v>
      </c>
      <c r="G82" s="30">
        <f>SUM(G73:G81)</f>
        <v>407627619.78824955</v>
      </c>
      <c r="H82" s="30">
        <f>SUM(H73:H81)</f>
        <v>412338883.06927127</v>
      </c>
      <c r="I82" s="30">
        <f>SUM(I73:I81)</f>
        <v>0</v>
      </c>
      <c r="J82" s="30">
        <f>SUM(J73:J81)</f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X82" s="6"/>
      <c r="Y82" s="6"/>
      <c r="Z82" s="6"/>
      <c r="AA82" s="6"/>
      <c r="AB82" s="6"/>
      <c r="AC82" s="20"/>
      <c r="AD82" s="6"/>
      <c r="AE82" s="6"/>
      <c r="AF82" s="6"/>
      <c r="AG82" s="6"/>
      <c r="AH82" s="6"/>
      <c r="AI82" s="6"/>
    </row>
    <row r="83" spans="1:42" ht="16.5" x14ac:dyDescent="0.3">
      <c r="A83" s="28"/>
      <c r="B83" s="28"/>
      <c r="C83" s="26" t="s">
        <v>537</v>
      </c>
      <c r="D83" s="1">
        <f>MAX(D78:D82)+NoOne</f>
        <v>11</v>
      </c>
      <c r="E83" s="6" t="s">
        <v>60</v>
      </c>
      <c r="F83" s="22">
        <f>SUM(G83:V83)</f>
        <v>146045380.87007934</v>
      </c>
      <c r="G83" s="23">
        <v>129746716.36497848</v>
      </c>
      <c r="H83" s="23">
        <v>16298664.505100856</v>
      </c>
      <c r="I83" s="23">
        <v>0</v>
      </c>
      <c r="J83" s="23">
        <v>0</v>
      </c>
      <c r="K83" s="23">
        <v>0</v>
      </c>
      <c r="L83" s="23">
        <v>0</v>
      </c>
      <c r="M83" s="23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23">
        <v>0</v>
      </c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</row>
    <row r="84" spans="1:42" ht="16.5" x14ac:dyDescent="0.3">
      <c r="A84" s="28"/>
      <c r="B84" s="28"/>
      <c r="C84" s="24" t="s">
        <v>61</v>
      </c>
      <c r="D84" s="1">
        <f t="shared" si="14"/>
        <v>12</v>
      </c>
      <c r="E84" s="6" t="s">
        <v>62</v>
      </c>
      <c r="F84" s="22">
        <v>126292246.21710794</v>
      </c>
      <c r="G84" s="23">
        <v>126292246.21710794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23">
        <v>0</v>
      </c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</row>
    <row r="85" spans="1:42" ht="16.5" x14ac:dyDescent="0.3">
      <c r="A85" s="28"/>
      <c r="B85" s="28"/>
      <c r="C85" s="26" t="s">
        <v>63</v>
      </c>
      <c r="D85" s="1">
        <f t="shared" si="14"/>
        <v>13</v>
      </c>
      <c r="E85" s="6" t="s">
        <v>64</v>
      </c>
      <c r="F85" s="22">
        <v>0</v>
      </c>
      <c r="G85" s="23">
        <v>0</v>
      </c>
      <c r="H85" s="23">
        <v>0</v>
      </c>
      <c r="I85" s="23">
        <v>0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23">
        <v>0</v>
      </c>
      <c r="X85" s="6"/>
      <c r="Y85" s="6"/>
      <c r="Z85" s="6"/>
      <c r="AA85" s="6"/>
      <c r="AB85" s="6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ht="16.5" x14ac:dyDescent="0.3">
      <c r="A86" s="28"/>
      <c r="B86" s="28"/>
      <c r="C86" s="26" t="s">
        <v>538</v>
      </c>
      <c r="D86" s="1">
        <f t="shared" si="14"/>
        <v>14</v>
      </c>
      <c r="E86" s="6" t="s">
        <v>65</v>
      </c>
      <c r="F86" s="22">
        <f>SUM(G86:V86)</f>
        <v>5172217.6293745227</v>
      </c>
      <c r="G86" s="23">
        <v>5172217.6293745227</v>
      </c>
      <c r="H86" s="23">
        <v>0</v>
      </c>
      <c r="I86" s="23">
        <v>0</v>
      </c>
      <c r="J86" s="22">
        <v>0</v>
      </c>
      <c r="K86" s="23">
        <v>0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0</v>
      </c>
      <c r="R86" s="23">
        <v>0</v>
      </c>
      <c r="S86" s="23">
        <v>0</v>
      </c>
      <c r="T86" s="23">
        <v>0</v>
      </c>
      <c r="U86" s="23">
        <v>0</v>
      </c>
      <c r="V86" s="23">
        <v>0</v>
      </c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</row>
    <row r="87" spans="1:42" ht="16.5" x14ac:dyDescent="0.3">
      <c r="A87" s="28">
        <f>SUM(G87:V87)-F87</f>
        <v>0</v>
      </c>
      <c r="B87" s="28"/>
      <c r="C87" s="29" t="s">
        <v>39</v>
      </c>
      <c r="D87" s="1">
        <f t="shared" si="14"/>
        <v>15</v>
      </c>
      <c r="E87" s="20" t="s">
        <v>66</v>
      </c>
      <c r="F87" s="30">
        <f>SUM(F82:F86)</f>
        <v>1097476347.5740826</v>
      </c>
      <c r="G87" s="30">
        <f>SUM(G82:G86)</f>
        <v>668838799.99971044</v>
      </c>
      <c r="H87" s="30">
        <f>SUM(H82:H86)</f>
        <v>428637547.57437211</v>
      </c>
      <c r="I87" s="30">
        <f>SUM(I82:I86)</f>
        <v>0</v>
      </c>
      <c r="J87" s="30">
        <f>SUM(J82:J86)</f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  <c r="U87" s="31">
        <v>0</v>
      </c>
      <c r="V87" s="31">
        <v>0</v>
      </c>
      <c r="X87" s="6"/>
      <c r="Y87" s="6"/>
      <c r="Z87" s="6"/>
      <c r="AA87" s="6"/>
      <c r="AB87" s="6"/>
      <c r="AC87" s="20"/>
      <c r="AD87" s="6"/>
      <c r="AE87" s="6"/>
      <c r="AF87" s="6"/>
      <c r="AG87" s="6"/>
      <c r="AH87" s="6"/>
      <c r="AI87" s="6"/>
    </row>
    <row r="88" spans="1:42" ht="16.5" x14ac:dyDescent="0.3">
      <c r="A88" s="28"/>
      <c r="B88" s="28"/>
      <c r="C88" s="26"/>
      <c r="D88" s="1"/>
      <c r="E88" s="20" t="s">
        <v>17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X88" s="6"/>
      <c r="Y88" s="6"/>
      <c r="Z88" s="6"/>
      <c r="AA88" s="6"/>
      <c r="AB88" s="6"/>
      <c r="AC88" s="20"/>
      <c r="AD88" s="6"/>
      <c r="AE88" s="6"/>
      <c r="AF88" s="6"/>
      <c r="AG88" s="6"/>
      <c r="AH88" s="6"/>
      <c r="AI88" s="6"/>
    </row>
    <row r="89" spans="1:42" ht="16.5" x14ac:dyDescent="0.3">
      <c r="A89" s="28"/>
      <c r="B89" s="28"/>
      <c r="C89" s="26" t="s">
        <v>539</v>
      </c>
      <c r="D89" s="1">
        <f t="shared" ref="D89:D96" si="15">MAX(D86:D88)+NoOne</f>
        <v>16</v>
      </c>
      <c r="E89" s="6" t="s">
        <v>67</v>
      </c>
      <c r="F89" s="22">
        <f>SUM(G89:V89)</f>
        <v>417821974.4968977</v>
      </c>
      <c r="G89" s="22">
        <v>9064399.3466760162</v>
      </c>
      <c r="H89" s="22">
        <v>9169163.5229325127</v>
      </c>
      <c r="I89" s="23">
        <v>351254882.67634594</v>
      </c>
      <c r="J89" s="22">
        <v>34898170.524554878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0</v>
      </c>
      <c r="Q89" s="22">
        <v>0</v>
      </c>
      <c r="R89" s="22">
        <v>0</v>
      </c>
      <c r="S89" s="22">
        <v>0</v>
      </c>
      <c r="T89" s="22">
        <v>0</v>
      </c>
      <c r="U89" s="22">
        <v>0</v>
      </c>
      <c r="V89" s="22">
        <v>13435358.426388353</v>
      </c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</row>
    <row r="90" spans="1:42" ht="16.5" x14ac:dyDescent="0.3">
      <c r="A90" s="28"/>
      <c r="B90" s="28"/>
      <c r="C90" s="26" t="s">
        <v>540</v>
      </c>
      <c r="D90" s="1">
        <f t="shared" si="15"/>
        <v>17</v>
      </c>
      <c r="E90" s="27" t="s">
        <v>68</v>
      </c>
      <c r="F90" s="22">
        <f>SUM(G90:V90)</f>
        <v>251981801.89964491</v>
      </c>
      <c r="G90" s="22">
        <v>0</v>
      </c>
      <c r="H90" s="22">
        <v>0</v>
      </c>
      <c r="I90" s="23">
        <v>221893580.05296999</v>
      </c>
      <c r="J90" s="23">
        <v>16264106.36037118</v>
      </c>
      <c r="K90" s="22">
        <v>0</v>
      </c>
      <c r="L90" s="22">
        <v>0</v>
      </c>
      <c r="M90" s="22">
        <v>0</v>
      </c>
      <c r="N90" s="22">
        <v>0</v>
      </c>
      <c r="O90" s="22">
        <v>0</v>
      </c>
      <c r="P90" s="22">
        <v>0</v>
      </c>
      <c r="Q90" s="22">
        <v>0</v>
      </c>
      <c r="R90" s="22">
        <v>0</v>
      </c>
      <c r="S90" s="22">
        <v>0</v>
      </c>
      <c r="T90" s="22">
        <v>0</v>
      </c>
      <c r="U90" s="22">
        <v>0</v>
      </c>
      <c r="V90" s="22">
        <v>13824115.486303747</v>
      </c>
      <c r="X90" s="6"/>
      <c r="Y90" s="6"/>
      <c r="Z90" s="6"/>
      <c r="AA90" s="6"/>
      <c r="AB90" s="6"/>
      <c r="AC90" s="27"/>
      <c r="AD90" s="6"/>
      <c r="AE90" s="6"/>
      <c r="AF90" s="6"/>
      <c r="AG90" s="6"/>
      <c r="AH90" s="6"/>
      <c r="AI90" s="6"/>
    </row>
    <row r="91" spans="1:42" ht="16.5" x14ac:dyDescent="0.3">
      <c r="A91" s="32"/>
      <c r="B91" s="32"/>
      <c r="C91" s="26" t="s">
        <v>541</v>
      </c>
      <c r="D91" s="1">
        <f>MAX(D89:D90)+NoOne</f>
        <v>18</v>
      </c>
      <c r="E91" s="33" t="str">
        <f>+$E$33</f>
        <v>Term Stns - Hydraulic</v>
      </c>
      <c r="F91" s="22">
        <f>SUM(G91:V91)</f>
        <v>31674087.246399548</v>
      </c>
      <c r="G91" s="22">
        <v>15746049.074225027</v>
      </c>
      <c r="H91" s="22">
        <v>15928038.172174521</v>
      </c>
      <c r="I91" s="23">
        <v>0</v>
      </c>
      <c r="J91" s="23">
        <v>0</v>
      </c>
      <c r="K91" s="23">
        <v>0</v>
      </c>
      <c r="L91" s="23">
        <v>0</v>
      </c>
      <c r="M91" s="23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23">
        <v>0</v>
      </c>
      <c r="X91" s="6"/>
      <c r="Y91" s="6"/>
      <c r="Z91" s="6"/>
      <c r="AA91" s="6"/>
      <c r="AB91" s="6"/>
      <c r="AC91" s="33"/>
      <c r="AD91" s="6"/>
      <c r="AE91" s="6"/>
      <c r="AF91" s="6"/>
      <c r="AG91" s="6"/>
      <c r="AH91" s="6"/>
      <c r="AI91" s="6"/>
    </row>
    <row r="92" spans="1:42" ht="16.5" x14ac:dyDescent="0.3">
      <c r="A92" s="32"/>
      <c r="B92" s="32"/>
      <c r="C92" s="26" t="s">
        <v>70</v>
      </c>
      <c r="D92" s="1">
        <f>MAX(D90:D91)+NoOne</f>
        <v>19</v>
      </c>
      <c r="E92" s="33" t="str">
        <f>+E34</f>
        <v>Term Stns - Holyrood</v>
      </c>
      <c r="F92" s="22">
        <v>8652255.2745452262</v>
      </c>
      <c r="G92" s="22">
        <v>7686663.5859059785</v>
      </c>
      <c r="H92" s="22">
        <v>965591.68863924732</v>
      </c>
      <c r="I92" s="23">
        <v>0</v>
      </c>
      <c r="J92" s="23">
        <v>0</v>
      </c>
      <c r="K92" s="23">
        <v>0</v>
      </c>
      <c r="L92" s="23">
        <v>0</v>
      </c>
      <c r="M92" s="23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23">
        <v>0</v>
      </c>
      <c r="X92" s="6"/>
      <c r="Y92" s="6"/>
      <c r="Z92" s="6"/>
      <c r="AA92" s="6"/>
      <c r="AB92" s="6"/>
      <c r="AC92" s="33"/>
      <c r="AD92" s="6"/>
      <c r="AE92" s="6"/>
      <c r="AF92" s="6"/>
      <c r="AG92" s="6"/>
      <c r="AH92" s="6"/>
      <c r="AI92" s="6"/>
    </row>
    <row r="93" spans="1:42" ht="16.5" x14ac:dyDescent="0.3">
      <c r="A93" s="28"/>
      <c r="B93" s="32"/>
      <c r="C93" s="26" t="s">
        <v>542</v>
      </c>
      <c r="D93" s="1">
        <f>MAX(D91:D92)+NoOne</f>
        <v>20</v>
      </c>
      <c r="E93" s="33" t="str">
        <f>+E35</f>
        <v>Term Stns - Gas Tur/Dsl</v>
      </c>
      <c r="F93" s="22">
        <f>SUM(G93:V93)</f>
        <v>354104.935</v>
      </c>
      <c r="G93" s="22">
        <v>354104.935</v>
      </c>
      <c r="H93" s="22">
        <v>0</v>
      </c>
      <c r="I93" s="22">
        <v>0</v>
      </c>
      <c r="J93" s="22">
        <v>0</v>
      </c>
      <c r="K93" s="22">
        <v>0</v>
      </c>
      <c r="L93" s="22">
        <v>0</v>
      </c>
      <c r="M93" s="22">
        <v>0</v>
      </c>
      <c r="N93" s="22">
        <v>0</v>
      </c>
      <c r="O93" s="22">
        <v>0</v>
      </c>
      <c r="P93" s="22">
        <v>0</v>
      </c>
      <c r="Q93" s="22">
        <v>0</v>
      </c>
      <c r="R93" s="22">
        <v>0</v>
      </c>
      <c r="S93" s="22">
        <v>0</v>
      </c>
      <c r="T93" s="22">
        <v>0</v>
      </c>
      <c r="U93" s="22">
        <v>0</v>
      </c>
      <c r="V93" s="22">
        <v>0</v>
      </c>
      <c r="X93" s="6"/>
      <c r="Y93" s="6"/>
      <c r="Z93" s="6"/>
      <c r="AA93" s="6"/>
      <c r="AB93" s="6"/>
      <c r="AC93" s="33"/>
      <c r="AD93" s="6"/>
      <c r="AE93" s="6"/>
      <c r="AF93" s="6"/>
      <c r="AG93" s="6"/>
      <c r="AH93" s="6"/>
      <c r="AI93" s="6"/>
    </row>
    <row r="94" spans="1:42" ht="16.5" x14ac:dyDescent="0.3">
      <c r="A94" s="28"/>
      <c r="B94" s="32"/>
      <c r="C94" s="26" t="s">
        <v>73</v>
      </c>
      <c r="D94" s="1">
        <f t="shared" si="15"/>
        <v>21</v>
      </c>
      <c r="E94" s="36" t="s">
        <v>74</v>
      </c>
      <c r="F94" s="22">
        <v>11523736.36242507</v>
      </c>
      <c r="G94" s="34">
        <v>0</v>
      </c>
      <c r="H94" s="34">
        <v>0</v>
      </c>
      <c r="I94" s="34">
        <v>0</v>
      </c>
      <c r="J94" s="34">
        <v>0</v>
      </c>
      <c r="K94" s="34">
        <f>F94</f>
        <v>11523736.36242507</v>
      </c>
      <c r="L94" s="34">
        <v>0</v>
      </c>
      <c r="M94" s="34">
        <v>0</v>
      </c>
      <c r="N94" s="34">
        <v>0</v>
      </c>
      <c r="O94" s="34">
        <v>0</v>
      </c>
      <c r="P94" s="34">
        <v>0</v>
      </c>
      <c r="Q94" s="34">
        <v>0</v>
      </c>
      <c r="R94" s="34">
        <v>0</v>
      </c>
      <c r="S94" s="34">
        <v>0</v>
      </c>
      <c r="T94" s="34">
        <v>0</v>
      </c>
      <c r="U94" s="34">
        <v>0</v>
      </c>
      <c r="V94" s="34">
        <v>0</v>
      </c>
      <c r="X94" s="6"/>
      <c r="Y94" s="6"/>
      <c r="Z94" s="6"/>
      <c r="AA94" s="6"/>
      <c r="AB94" s="6"/>
      <c r="AC94" s="36"/>
      <c r="AD94" s="6"/>
      <c r="AE94" s="6"/>
      <c r="AF94" s="6"/>
      <c r="AG94" s="6"/>
      <c r="AH94" s="6"/>
      <c r="AI94" s="6"/>
    </row>
    <row r="95" spans="1:42" ht="16.5" x14ac:dyDescent="0.3">
      <c r="A95" s="28">
        <f>SUM(G95:V95)-F95</f>
        <v>0</v>
      </c>
      <c r="B95" s="28"/>
      <c r="C95" s="29"/>
      <c r="D95" s="1">
        <f t="shared" si="15"/>
        <v>22</v>
      </c>
      <c r="E95" s="39" t="s">
        <v>76</v>
      </c>
      <c r="F95" s="30">
        <f t="shared" ref="F95:V95" si="16">SUM(F90:F94)</f>
        <v>304185985.71801478</v>
      </c>
      <c r="G95" s="30">
        <f t="shared" si="16"/>
        <v>23786817.595131006</v>
      </c>
      <c r="H95" s="30">
        <f t="shared" si="16"/>
        <v>16893629.860813767</v>
      </c>
      <c r="I95" s="30">
        <f t="shared" si="16"/>
        <v>221893580.05296999</v>
      </c>
      <c r="J95" s="30">
        <f t="shared" si="16"/>
        <v>16264106.36037118</v>
      </c>
      <c r="K95" s="30">
        <f t="shared" si="16"/>
        <v>11523736.36242507</v>
      </c>
      <c r="L95" s="30">
        <f t="shared" si="16"/>
        <v>0</v>
      </c>
      <c r="M95" s="30">
        <f t="shared" si="16"/>
        <v>0</v>
      </c>
      <c r="N95" s="30">
        <f t="shared" si="16"/>
        <v>0</v>
      </c>
      <c r="O95" s="30">
        <f t="shared" si="16"/>
        <v>0</v>
      </c>
      <c r="P95" s="30">
        <f t="shared" si="16"/>
        <v>0</v>
      </c>
      <c r="Q95" s="30">
        <f t="shared" si="16"/>
        <v>0</v>
      </c>
      <c r="R95" s="30">
        <f t="shared" si="16"/>
        <v>0</v>
      </c>
      <c r="S95" s="30">
        <f t="shared" si="16"/>
        <v>0</v>
      </c>
      <c r="T95" s="30">
        <f t="shared" si="16"/>
        <v>0</v>
      </c>
      <c r="U95" s="30">
        <f t="shared" si="16"/>
        <v>0</v>
      </c>
      <c r="V95" s="30">
        <f t="shared" si="16"/>
        <v>13824115.486303747</v>
      </c>
      <c r="X95" s="6"/>
      <c r="Y95" s="6"/>
      <c r="Z95" s="6"/>
      <c r="AA95" s="6"/>
      <c r="AB95" s="6"/>
      <c r="AC95" s="39"/>
      <c r="AD95" s="6"/>
      <c r="AE95" s="6"/>
      <c r="AF95" s="6"/>
      <c r="AG95" s="6"/>
      <c r="AH95" s="6"/>
      <c r="AI95" s="6"/>
    </row>
    <row r="96" spans="1:42" ht="18.75" customHeight="1" x14ac:dyDescent="0.3">
      <c r="A96" s="28">
        <f>SUM(G96:V96)-F96</f>
        <v>0</v>
      </c>
      <c r="B96" s="28"/>
      <c r="C96" s="29" t="s">
        <v>39</v>
      </c>
      <c r="D96" s="1">
        <f t="shared" si="15"/>
        <v>23</v>
      </c>
      <c r="E96" s="37" t="s">
        <v>107</v>
      </c>
      <c r="F96" s="30">
        <f>SUM(F89,F95)</f>
        <v>722007960.21491241</v>
      </c>
      <c r="G96" s="30">
        <f t="shared" ref="G96:V96" si="17">SUM(G89,G95)</f>
        <v>32851216.941807024</v>
      </c>
      <c r="H96" s="30">
        <f t="shared" si="17"/>
        <v>26062793.383746281</v>
      </c>
      <c r="I96" s="30">
        <f t="shared" si="17"/>
        <v>573148462.729316</v>
      </c>
      <c r="J96" s="30">
        <f t="shared" si="17"/>
        <v>51162276.884926058</v>
      </c>
      <c r="K96" s="30">
        <f t="shared" si="17"/>
        <v>11523736.36242507</v>
      </c>
      <c r="L96" s="30">
        <f t="shared" si="17"/>
        <v>0</v>
      </c>
      <c r="M96" s="30">
        <f t="shared" si="17"/>
        <v>0</v>
      </c>
      <c r="N96" s="30">
        <f t="shared" si="17"/>
        <v>0</v>
      </c>
      <c r="O96" s="30">
        <f t="shared" si="17"/>
        <v>0</v>
      </c>
      <c r="P96" s="30">
        <f t="shared" si="17"/>
        <v>0</v>
      </c>
      <c r="Q96" s="30">
        <f t="shared" si="17"/>
        <v>0</v>
      </c>
      <c r="R96" s="30">
        <f t="shared" si="17"/>
        <v>0</v>
      </c>
      <c r="S96" s="30">
        <f t="shared" si="17"/>
        <v>0</v>
      </c>
      <c r="T96" s="30">
        <f t="shared" si="17"/>
        <v>0</v>
      </c>
      <c r="U96" s="30">
        <f t="shared" si="17"/>
        <v>0</v>
      </c>
      <c r="V96" s="30">
        <f t="shared" si="17"/>
        <v>27259473.9126921</v>
      </c>
      <c r="X96" s="6"/>
      <c r="Y96" s="6"/>
      <c r="Z96" s="6"/>
      <c r="AA96" s="6"/>
      <c r="AB96" s="6"/>
      <c r="AC96" s="37"/>
      <c r="AD96" s="6"/>
      <c r="AE96" s="6"/>
      <c r="AF96" s="6"/>
      <c r="AG96" s="6"/>
      <c r="AH96" s="6"/>
      <c r="AI96" s="6"/>
    </row>
    <row r="97" spans="1:35" ht="16.5" x14ac:dyDescent="0.3">
      <c r="A97" s="32"/>
      <c r="B97" s="32"/>
      <c r="C97" s="26"/>
      <c r="D97" s="1"/>
      <c r="E97" s="37" t="s">
        <v>9</v>
      </c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X97" s="6"/>
      <c r="Y97" s="6"/>
      <c r="Z97" s="6"/>
      <c r="AA97" s="6"/>
      <c r="AB97" s="6"/>
      <c r="AC97" s="39"/>
      <c r="AD97" s="6"/>
      <c r="AE97" s="6"/>
      <c r="AF97" s="6"/>
      <c r="AG97" s="6"/>
      <c r="AH97" s="6"/>
      <c r="AI97" s="6"/>
    </row>
    <row r="98" spans="1:35" ht="16.5" x14ac:dyDescent="0.3">
      <c r="A98" s="32"/>
      <c r="B98" s="32"/>
      <c r="C98" s="26" t="s">
        <v>543</v>
      </c>
      <c r="D98" s="1">
        <f t="shared" ref="D98:D114" si="18">MAX(D95:D97)+NoOne</f>
        <v>24</v>
      </c>
      <c r="E98" s="36" t="s">
        <v>18</v>
      </c>
      <c r="F98" s="22">
        <f>SUM(G98:V98)</f>
        <v>51022060.90882007</v>
      </c>
      <c r="G98" s="22">
        <v>0</v>
      </c>
      <c r="H98" s="22">
        <v>0</v>
      </c>
      <c r="I98" s="22">
        <v>0</v>
      </c>
      <c r="J98" s="22">
        <v>0</v>
      </c>
      <c r="K98" s="22">
        <v>51022060.90882007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>
        <v>0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X98" s="6"/>
      <c r="Y98" s="6"/>
      <c r="Z98" s="6"/>
      <c r="AA98" s="6"/>
      <c r="AB98" s="6"/>
      <c r="AC98" s="36"/>
      <c r="AD98" s="6"/>
      <c r="AE98" s="6"/>
      <c r="AF98" s="6"/>
      <c r="AG98" s="6"/>
      <c r="AH98" s="6"/>
      <c r="AI98" s="6"/>
    </row>
    <row r="99" spans="1:35" ht="16.5" x14ac:dyDescent="0.3">
      <c r="A99" s="32"/>
      <c r="B99" s="32"/>
      <c r="C99" s="26" t="s">
        <v>79</v>
      </c>
      <c r="D99" s="1">
        <f t="shared" si="18"/>
        <v>25</v>
      </c>
      <c r="E99" s="36" t="s">
        <v>80</v>
      </c>
      <c r="F99" s="34">
        <v>1847170.9049999998</v>
      </c>
      <c r="G99" s="23">
        <v>0</v>
      </c>
      <c r="H99" s="23">
        <v>0</v>
      </c>
      <c r="I99" s="22">
        <v>0</v>
      </c>
      <c r="J99" s="23">
        <v>0</v>
      </c>
      <c r="K99" s="23">
        <v>0</v>
      </c>
      <c r="L99" s="23">
        <v>1392674.50382475</v>
      </c>
      <c r="M99" s="23">
        <v>177420.76542524996</v>
      </c>
      <c r="N99" s="23">
        <v>0</v>
      </c>
      <c r="O99" s="23">
        <v>0</v>
      </c>
      <c r="P99" s="23">
        <v>161535.09564224994</v>
      </c>
      <c r="Q99" s="23">
        <v>115540.54010774997</v>
      </c>
      <c r="R99" s="23">
        <v>0</v>
      </c>
      <c r="S99" s="23">
        <v>0</v>
      </c>
      <c r="T99" s="23">
        <v>0</v>
      </c>
      <c r="U99" s="23">
        <v>0</v>
      </c>
      <c r="V99" s="23">
        <v>0</v>
      </c>
      <c r="X99" s="6"/>
      <c r="Y99" s="6"/>
      <c r="Z99" s="6"/>
      <c r="AA99" s="6"/>
      <c r="AB99" s="6"/>
      <c r="AC99" s="36"/>
      <c r="AD99" s="6"/>
      <c r="AE99" s="6"/>
      <c r="AF99" s="6"/>
      <c r="AG99" s="6"/>
      <c r="AH99" s="6"/>
      <c r="AI99" s="6"/>
    </row>
    <row r="100" spans="1:35" ht="16.5" x14ac:dyDescent="0.3">
      <c r="A100" s="32"/>
      <c r="B100" s="32"/>
      <c r="C100" s="26" t="s">
        <v>79</v>
      </c>
      <c r="D100" s="1">
        <f t="shared" si="18"/>
        <v>26</v>
      </c>
      <c r="E100" s="36" t="s">
        <v>81</v>
      </c>
      <c r="F100" s="50">
        <v>64554581.534130566</v>
      </c>
      <c r="G100" s="23">
        <v>0</v>
      </c>
      <c r="H100" s="23">
        <v>0</v>
      </c>
      <c r="I100" s="22">
        <v>0</v>
      </c>
      <c r="J100" s="23">
        <v>0</v>
      </c>
      <c r="K100" s="23">
        <v>0</v>
      </c>
      <c r="L100" s="23">
        <v>37335013.121101342</v>
      </c>
      <c r="M100" s="23">
        <v>12759342.149383975</v>
      </c>
      <c r="N100" s="23">
        <v>0</v>
      </c>
      <c r="O100" s="23">
        <v>0</v>
      </c>
      <c r="P100" s="23">
        <v>6608323.4024858773</v>
      </c>
      <c r="Q100" s="23">
        <v>7851902.8611593703</v>
      </c>
      <c r="R100" s="23">
        <v>0</v>
      </c>
      <c r="S100" s="23">
        <v>0</v>
      </c>
      <c r="T100" s="23">
        <v>0</v>
      </c>
      <c r="U100" s="23">
        <v>0</v>
      </c>
      <c r="V100" s="23">
        <v>0</v>
      </c>
      <c r="X100" s="6"/>
      <c r="Y100" s="6"/>
      <c r="Z100" s="6"/>
      <c r="AA100" s="6"/>
      <c r="AB100" s="6"/>
      <c r="AC100" s="36"/>
      <c r="AD100" s="6"/>
      <c r="AE100" s="6"/>
      <c r="AF100" s="6"/>
      <c r="AG100" s="6"/>
      <c r="AH100" s="6"/>
      <c r="AI100" s="6"/>
    </row>
    <row r="101" spans="1:35" ht="16.5" x14ac:dyDescent="0.3">
      <c r="A101" s="32"/>
      <c r="B101" s="32"/>
      <c r="C101" s="26" t="s">
        <v>79</v>
      </c>
      <c r="D101" s="1">
        <f t="shared" si="18"/>
        <v>27</v>
      </c>
      <c r="E101" s="36" t="s">
        <v>82</v>
      </c>
      <c r="F101" s="22">
        <v>14135420.986592837</v>
      </c>
      <c r="G101" s="23">
        <v>0</v>
      </c>
      <c r="H101" s="23">
        <v>0</v>
      </c>
      <c r="I101" s="22">
        <v>0</v>
      </c>
      <c r="J101" s="23">
        <v>0</v>
      </c>
      <c r="K101" s="23">
        <v>0</v>
      </c>
      <c r="L101" s="23">
        <v>12538118.415107846</v>
      </c>
      <c r="M101" s="23">
        <v>1597302.5714849907</v>
      </c>
      <c r="N101" s="23">
        <v>0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  <c r="U101" s="23">
        <v>0</v>
      </c>
      <c r="V101" s="23">
        <v>0</v>
      </c>
      <c r="X101" s="6"/>
      <c r="Y101" s="6"/>
      <c r="Z101" s="6"/>
      <c r="AA101" s="6"/>
      <c r="AB101" s="6"/>
      <c r="AC101" s="36"/>
      <c r="AD101" s="6"/>
      <c r="AE101" s="6"/>
      <c r="AF101" s="6"/>
      <c r="AG101" s="6"/>
      <c r="AH101" s="6"/>
      <c r="AI101" s="6"/>
    </row>
    <row r="102" spans="1:35" ht="16.5" x14ac:dyDescent="0.3">
      <c r="A102" s="32"/>
      <c r="B102" s="32"/>
      <c r="C102" s="24" t="s">
        <v>83</v>
      </c>
      <c r="D102" s="1">
        <f t="shared" si="18"/>
        <v>28</v>
      </c>
      <c r="E102" s="36" t="s">
        <v>84</v>
      </c>
      <c r="F102" s="22">
        <v>1560642.0750000004</v>
      </c>
      <c r="G102" s="23">
        <v>0</v>
      </c>
      <c r="H102" s="23">
        <v>0</v>
      </c>
      <c r="I102" s="22">
        <v>0</v>
      </c>
      <c r="J102" s="23">
        <v>0</v>
      </c>
      <c r="K102" s="23">
        <v>0</v>
      </c>
      <c r="L102" s="23">
        <v>1560642.0750000004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3">
        <v>0</v>
      </c>
      <c r="U102" s="23">
        <v>0</v>
      </c>
      <c r="V102" s="23">
        <v>0</v>
      </c>
      <c r="X102" s="6"/>
      <c r="Y102" s="6"/>
      <c r="Z102" s="6"/>
      <c r="AA102" s="6"/>
      <c r="AB102" s="6"/>
      <c r="AC102" s="36"/>
      <c r="AD102" s="6"/>
      <c r="AE102" s="6"/>
      <c r="AF102" s="6"/>
      <c r="AG102" s="6"/>
      <c r="AH102" s="6"/>
      <c r="AI102" s="6"/>
    </row>
    <row r="103" spans="1:35" ht="16.5" x14ac:dyDescent="0.3">
      <c r="A103" s="32"/>
      <c r="B103" s="32"/>
      <c r="C103" s="26" t="s">
        <v>79</v>
      </c>
      <c r="D103" s="1">
        <f t="shared" si="18"/>
        <v>29</v>
      </c>
      <c r="E103" s="36" t="s">
        <v>85</v>
      </c>
      <c r="F103" s="22">
        <v>14450702.878910948</v>
      </c>
      <c r="G103" s="23">
        <v>0</v>
      </c>
      <c r="H103" s="23">
        <v>0</v>
      </c>
      <c r="I103" s="22">
        <v>0</v>
      </c>
      <c r="J103" s="23">
        <v>0</v>
      </c>
      <c r="K103" s="23">
        <v>0</v>
      </c>
      <c r="L103" s="23">
        <v>0</v>
      </c>
      <c r="M103" s="23">
        <v>0</v>
      </c>
      <c r="N103" s="23">
        <v>5216703.7392868521</v>
      </c>
      <c r="O103" s="23">
        <v>9233999.1396240965</v>
      </c>
      <c r="P103" s="23">
        <v>0</v>
      </c>
      <c r="Q103" s="23">
        <v>0</v>
      </c>
      <c r="R103" s="23">
        <v>0</v>
      </c>
      <c r="S103" s="23">
        <v>0</v>
      </c>
      <c r="T103" s="23">
        <v>0</v>
      </c>
      <c r="U103" s="23">
        <v>0</v>
      </c>
      <c r="V103" s="23">
        <v>0</v>
      </c>
      <c r="X103" s="6"/>
      <c r="Y103" s="6"/>
      <c r="Z103" s="6"/>
      <c r="AA103" s="6"/>
      <c r="AB103" s="6"/>
      <c r="AC103" s="36"/>
      <c r="AD103" s="6"/>
      <c r="AE103" s="6"/>
      <c r="AF103" s="6"/>
      <c r="AG103" s="6"/>
      <c r="AH103" s="6"/>
      <c r="AI103" s="6"/>
    </row>
    <row r="104" spans="1:35" ht="16.5" x14ac:dyDescent="0.3">
      <c r="A104" s="32"/>
      <c r="B104" s="32"/>
      <c r="C104" s="26" t="s">
        <v>79</v>
      </c>
      <c r="D104" s="1">
        <f t="shared" si="18"/>
        <v>30</v>
      </c>
      <c r="E104" s="36" t="s">
        <v>86</v>
      </c>
      <c r="F104" s="22">
        <v>899951.0939657347</v>
      </c>
      <c r="G104" s="23">
        <v>0</v>
      </c>
      <c r="H104" s="23">
        <v>0</v>
      </c>
      <c r="I104" s="22">
        <v>0</v>
      </c>
      <c r="J104" s="23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0</v>
      </c>
      <c r="P104" s="23">
        <v>524671.48778202327</v>
      </c>
      <c r="Q104" s="23">
        <v>375279.60618371138</v>
      </c>
      <c r="R104" s="23">
        <v>0</v>
      </c>
      <c r="S104" s="23">
        <v>0</v>
      </c>
      <c r="T104" s="23">
        <v>0</v>
      </c>
      <c r="U104" s="23">
        <v>0</v>
      </c>
      <c r="V104" s="23">
        <v>0</v>
      </c>
      <c r="X104" s="6"/>
      <c r="Y104" s="6"/>
      <c r="Z104" s="6"/>
      <c r="AA104" s="6"/>
      <c r="AB104" s="6"/>
      <c r="AC104" s="36"/>
      <c r="AD104" s="6"/>
      <c r="AE104" s="6"/>
      <c r="AF104" s="6"/>
      <c r="AG104" s="6"/>
      <c r="AH104" s="6"/>
      <c r="AI104" s="6"/>
    </row>
    <row r="105" spans="1:35" ht="16.5" x14ac:dyDescent="0.3">
      <c r="A105" s="32"/>
      <c r="B105" s="32"/>
      <c r="C105" s="26" t="s">
        <v>79</v>
      </c>
      <c r="D105" s="1">
        <f t="shared" si="18"/>
        <v>31</v>
      </c>
      <c r="E105" s="36" t="s">
        <v>22</v>
      </c>
      <c r="F105" s="22">
        <v>1764687.622662155</v>
      </c>
      <c r="G105" s="23">
        <v>0</v>
      </c>
      <c r="H105" s="23">
        <v>0</v>
      </c>
      <c r="I105" s="22">
        <v>0</v>
      </c>
      <c r="J105" s="23">
        <v>0</v>
      </c>
      <c r="K105" s="23">
        <v>0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3">
        <v>0</v>
      </c>
      <c r="R105" s="23">
        <v>1764687.622662155</v>
      </c>
      <c r="S105" s="23">
        <v>0</v>
      </c>
      <c r="T105" s="23">
        <v>0</v>
      </c>
      <c r="U105" s="23">
        <v>0</v>
      </c>
      <c r="V105" s="23">
        <v>0</v>
      </c>
      <c r="X105" s="6"/>
      <c r="Y105" s="6"/>
      <c r="Z105" s="6"/>
      <c r="AA105" s="6"/>
      <c r="AB105" s="6"/>
      <c r="AC105" s="36"/>
      <c r="AD105" s="6"/>
      <c r="AE105" s="6"/>
      <c r="AF105" s="6"/>
      <c r="AG105" s="6"/>
      <c r="AH105" s="6"/>
      <c r="AI105" s="6"/>
    </row>
    <row r="106" spans="1:35" ht="16.5" x14ac:dyDescent="0.3">
      <c r="A106" s="32"/>
      <c r="B106" s="32"/>
      <c r="C106" s="26" t="s">
        <v>531</v>
      </c>
      <c r="D106" s="1">
        <f t="shared" si="18"/>
        <v>32</v>
      </c>
      <c r="E106" s="36" t="s">
        <v>23</v>
      </c>
      <c r="F106" s="51">
        <v>6895203.9891659217</v>
      </c>
      <c r="G106" s="23">
        <v>0</v>
      </c>
      <c r="H106" s="23">
        <v>0</v>
      </c>
      <c r="I106" s="22">
        <v>0</v>
      </c>
      <c r="J106" s="23">
        <v>0</v>
      </c>
      <c r="K106" s="23">
        <v>0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3">
        <v>0</v>
      </c>
      <c r="R106" s="23">
        <v>0</v>
      </c>
      <c r="S106" s="23">
        <v>6895203.9891659217</v>
      </c>
      <c r="T106" s="23">
        <v>0</v>
      </c>
      <c r="U106" s="23">
        <v>0</v>
      </c>
      <c r="V106" s="23">
        <v>0</v>
      </c>
      <c r="X106" s="6"/>
      <c r="Y106" s="6"/>
      <c r="Z106" s="6"/>
      <c r="AA106" s="6"/>
      <c r="AB106" s="6"/>
      <c r="AC106" s="36"/>
      <c r="AD106" s="6"/>
      <c r="AE106" s="6"/>
      <c r="AF106" s="6"/>
      <c r="AG106" s="6"/>
      <c r="AH106" s="6"/>
      <c r="AI106" s="6"/>
    </row>
    <row r="107" spans="1:35" ht="16.5" x14ac:dyDescent="0.3">
      <c r="A107" s="32"/>
      <c r="B107" s="32"/>
      <c r="C107" s="26" t="s">
        <v>79</v>
      </c>
      <c r="D107" s="1">
        <f t="shared" si="18"/>
        <v>33</v>
      </c>
      <c r="E107" s="36" t="s">
        <v>24</v>
      </c>
      <c r="F107" s="34">
        <v>2172511.4277417073</v>
      </c>
      <c r="G107" s="23">
        <v>0</v>
      </c>
      <c r="H107" s="23">
        <v>0</v>
      </c>
      <c r="I107" s="22">
        <v>0</v>
      </c>
      <c r="J107" s="23">
        <v>0</v>
      </c>
      <c r="K107" s="23">
        <v>0</v>
      </c>
      <c r="L107" s="23">
        <v>0</v>
      </c>
      <c r="M107" s="23">
        <v>0</v>
      </c>
      <c r="N107" s="23">
        <v>0</v>
      </c>
      <c r="O107" s="23">
        <v>0</v>
      </c>
      <c r="P107" s="23">
        <v>0</v>
      </c>
      <c r="Q107" s="23">
        <v>0</v>
      </c>
      <c r="R107" s="23">
        <v>0</v>
      </c>
      <c r="S107" s="23">
        <v>0</v>
      </c>
      <c r="T107" s="23">
        <v>2172511.4277417073</v>
      </c>
      <c r="U107" s="23">
        <v>0</v>
      </c>
      <c r="V107" s="23">
        <v>0</v>
      </c>
      <c r="X107" s="6"/>
      <c r="Y107" s="6"/>
      <c r="Z107" s="6"/>
      <c r="AA107" s="6"/>
      <c r="AB107" s="6"/>
      <c r="AC107" s="36"/>
      <c r="AD107" s="6"/>
      <c r="AE107" s="6"/>
      <c r="AF107" s="6"/>
      <c r="AG107" s="6"/>
      <c r="AH107" s="6"/>
      <c r="AI107" s="6"/>
    </row>
    <row r="108" spans="1:35" ht="16.5" x14ac:dyDescent="0.3">
      <c r="A108" s="28">
        <f>SUM(G108:V108)-F108</f>
        <v>0</v>
      </c>
      <c r="B108" s="28"/>
      <c r="C108" s="29" t="s">
        <v>39</v>
      </c>
      <c r="D108" s="1">
        <f t="shared" si="18"/>
        <v>34</v>
      </c>
      <c r="E108" s="39" t="s">
        <v>90</v>
      </c>
      <c r="F108" s="31">
        <f>SUM(F98:F107)</f>
        <v>159302933.42198995</v>
      </c>
      <c r="G108" s="31">
        <f>SUM(G98:G107)</f>
        <v>0</v>
      </c>
      <c r="H108" s="31">
        <f>SUM(H98:H107)</f>
        <v>0</v>
      </c>
      <c r="I108" s="31">
        <f>SUM(I98:I107)</f>
        <v>0</v>
      </c>
      <c r="J108" s="31">
        <f t="shared" ref="J108:V108" si="19">SUM(J98:J107)</f>
        <v>0</v>
      </c>
      <c r="K108" s="31">
        <f t="shared" si="19"/>
        <v>51022060.90882007</v>
      </c>
      <c r="L108" s="31">
        <f t="shared" si="19"/>
        <v>52826448.115033939</v>
      </c>
      <c r="M108" s="31">
        <f t="shared" si="19"/>
        <v>14534065.486294216</v>
      </c>
      <c r="N108" s="31">
        <f t="shared" si="19"/>
        <v>5216703.7392868521</v>
      </c>
      <c r="O108" s="31">
        <f t="shared" si="19"/>
        <v>9233999.1396240965</v>
      </c>
      <c r="P108" s="31">
        <f t="shared" si="19"/>
        <v>7294529.9859101502</v>
      </c>
      <c r="Q108" s="31">
        <f t="shared" si="19"/>
        <v>8342723.0074508321</v>
      </c>
      <c r="R108" s="31">
        <f t="shared" si="19"/>
        <v>1764687.622662155</v>
      </c>
      <c r="S108" s="31">
        <f t="shared" si="19"/>
        <v>6895203.9891659217</v>
      </c>
      <c r="T108" s="31">
        <f t="shared" si="19"/>
        <v>2172511.4277417073</v>
      </c>
      <c r="U108" s="31">
        <f t="shared" si="19"/>
        <v>0</v>
      </c>
      <c r="V108" s="31">
        <f t="shared" si="19"/>
        <v>0</v>
      </c>
      <c r="X108" s="6"/>
      <c r="Y108" s="6"/>
      <c r="Z108" s="6"/>
      <c r="AA108" s="6"/>
      <c r="AB108" s="6"/>
      <c r="AC108" s="39"/>
      <c r="AD108" s="6"/>
      <c r="AE108" s="6"/>
      <c r="AF108" s="6"/>
      <c r="AG108" s="6"/>
      <c r="AH108" s="6"/>
      <c r="AI108" s="6"/>
    </row>
    <row r="109" spans="1:35" ht="16.5" x14ac:dyDescent="0.3">
      <c r="A109" s="28">
        <f>SUM(G109:V109)-F109</f>
        <v>0</v>
      </c>
      <c r="B109" s="28"/>
      <c r="C109" s="29" t="s">
        <v>39</v>
      </c>
      <c r="D109" s="1">
        <f t="shared" si="18"/>
        <v>35</v>
      </c>
      <c r="E109" s="39" t="s">
        <v>91</v>
      </c>
      <c r="F109" s="40">
        <f t="shared" ref="F109:V109" si="20">SUM(F108,F96,F87)</f>
        <v>1978787241.2109849</v>
      </c>
      <c r="G109" s="40">
        <f t="shared" si="20"/>
        <v>701690016.94151747</v>
      </c>
      <c r="H109" s="40">
        <f t="shared" si="20"/>
        <v>454700340.95811838</v>
      </c>
      <c r="I109" s="40">
        <f t="shared" si="20"/>
        <v>573148462.729316</v>
      </c>
      <c r="J109" s="40">
        <f t="shared" si="20"/>
        <v>51162276.884926058</v>
      </c>
      <c r="K109" s="40">
        <f t="shared" si="20"/>
        <v>62545797.271245137</v>
      </c>
      <c r="L109" s="40">
        <f t="shared" si="20"/>
        <v>52826448.115033939</v>
      </c>
      <c r="M109" s="40">
        <f t="shared" si="20"/>
        <v>14534065.486294216</v>
      </c>
      <c r="N109" s="40">
        <f t="shared" si="20"/>
        <v>5216703.7392868521</v>
      </c>
      <c r="O109" s="40">
        <f t="shared" si="20"/>
        <v>9233999.1396240965</v>
      </c>
      <c r="P109" s="40">
        <f t="shared" si="20"/>
        <v>7294529.9859101502</v>
      </c>
      <c r="Q109" s="40">
        <f t="shared" si="20"/>
        <v>8342723.0074508321</v>
      </c>
      <c r="R109" s="40">
        <f t="shared" si="20"/>
        <v>1764687.622662155</v>
      </c>
      <c r="S109" s="40">
        <f t="shared" si="20"/>
        <v>6895203.9891659217</v>
      </c>
      <c r="T109" s="40">
        <f t="shared" si="20"/>
        <v>2172511.4277417073</v>
      </c>
      <c r="U109" s="40">
        <f t="shared" si="20"/>
        <v>0</v>
      </c>
      <c r="V109" s="40">
        <f t="shared" si="20"/>
        <v>27259473.9126921</v>
      </c>
      <c r="X109" s="6"/>
      <c r="Y109" s="6"/>
      <c r="Z109" s="6"/>
      <c r="AA109" s="6"/>
      <c r="AB109" s="6"/>
      <c r="AC109" s="39"/>
      <c r="AD109" s="6"/>
      <c r="AE109" s="6"/>
      <c r="AF109" s="6"/>
      <c r="AG109" s="6"/>
      <c r="AH109" s="6"/>
      <c r="AI109" s="6"/>
    </row>
    <row r="110" spans="1:35" ht="16.5" x14ac:dyDescent="0.3">
      <c r="A110" s="19"/>
      <c r="B110" s="26" t="str">
        <f>IF(OverheadAlloc="Expenses","E-GTDC","L-GTDC")</f>
        <v>E-GTDC</v>
      </c>
      <c r="C110" s="26" t="s">
        <v>532</v>
      </c>
      <c r="D110" s="1">
        <f t="shared" si="18"/>
        <v>36</v>
      </c>
      <c r="E110" s="6" t="s">
        <v>92</v>
      </c>
      <c r="F110" s="52">
        <v>109768210.84733242</v>
      </c>
      <c r="G110" s="22">
        <f t="shared" ref="G110:V110" si="21">$F110*VLOOKUP($B110,RatiosIslInt,G$561,FALSE)</f>
        <v>51490821.60106688</v>
      </c>
      <c r="H110" s="22">
        <f t="shared" si="21"/>
        <v>18191987.65949624</v>
      </c>
      <c r="I110" s="22">
        <f t="shared" si="21"/>
        <v>22389192.571761932</v>
      </c>
      <c r="J110" s="22">
        <f t="shared" si="21"/>
        <v>3110810.6252398873</v>
      </c>
      <c r="K110" s="22">
        <f t="shared" si="21"/>
        <v>2092652.7780512334</v>
      </c>
      <c r="L110" s="22">
        <f t="shared" si="21"/>
        <v>3946722.3740346064</v>
      </c>
      <c r="M110" s="22">
        <f t="shared" si="21"/>
        <v>1076732.3332798362</v>
      </c>
      <c r="N110" s="22">
        <f t="shared" si="21"/>
        <v>329110.57873947918</v>
      </c>
      <c r="O110" s="22">
        <f t="shared" si="21"/>
        <v>582553.07427846862</v>
      </c>
      <c r="P110" s="22">
        <f t="shared" si="21"/>
        <v>570207.83574614418</v>
      </c>
      <c r="Q110" s="22">
        <f t="shared" si="21"/>
        <v>647091.80551198567</v>
      </c>
      <c r="R110" s="22">
        <f t="shared" si="21"/>
        <v>190028.66563295454</v>
      </c>
      <c r="S110" s="22">
        <f t="shared" si="21"/>
        <v>582103.57502739597</v>
      </c>
      <c r="T110" s="22">
        <f t="shared" si="21"/>
        <v>162146.4259856593</v>
      </c>
      <c r="U110" s="22">
        <f t="shared" si="21"/>
        <v>3543748.5312603628</v>
      </c>
      <c r="V110" s="22">
        <f t="shared" si="21"/>
        <v>862300.41221936129</v>
      </c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</row>
    <row r="111" spans="1:35" ht="16.5" x14ac:dyDescent="0.3">
      <c r="A111" s="28"/>
      <c r="B111" s="28"/>
      <c r="C111" s="26" t="s">
        <v>93</v>
      </c>
      <c r="D111" s="1">
        <f t="shared" si="18"/>
        <v>37</v>
      </c>
      <c r="E111" s="6" t="s">
        <v>94</v>
      </c>
      <c r="F111" s="22">
        <v>596295.38000000047</v>
      </c>
      <c r="G111" s="23">
        <f t="shared" ref="G111:V111" si="22">$F111*(G$109/SUM($G$109:$V$109))</f>
        <v>211449.97631897309</v>
      </c>
      <c r="H111" s="23">
        <f t="shared" si="22"/>
        <v>137021.15465016864</v>
      </c>
      <c r="I111" s="23">
        <f t="shared" si="22"/>
        <v>172714.76855209484</v>
      </c>
      <c r="J111" s="23">
        <f t="shared" si="22"/>
        <v>15417.437863654273</v>
      </c>
      <c r="K111" s="23">
        <f t="shared" si="22"/>
        <v>18847.791806276105</v>
      </c>
      <c r="L111" s="23">
        <f t="shared" si="22"/>
        <v>15918.925641306889</v>
      </c>
      <c r="M111" s="23">
        <f t="shared" si="22"/>
        <v>4379.7513555782216</v>
      </c>
      <c r="N111" s="23">
        <f t="shared" si="22"/>
        <v>1572.021627075876</v>
      </c>
      <c r="O111" s="23">
        <f t="shared" si="22"/>
        <v>2782.6089188406781</v>
      </c>
      <c r="P111" s="23">
        <f t="shared" si="22"/>
        <v>2198.1618029878491</v>
      </c>
      <c r="Q111" s="23">
        <f t="shared" si="22"/>
        <v>2514.0283312713245</v>
      </c>
      <c r="R111" s="23">
        <f t="shared" si="22"/>
        <v>531.77777510464045</v>
      </c>
      <c r="S111" s="23">
        <f t="shared" si="22"/>
        <v>2077.8273668173615</v>
      </c>
      <c r="T111" s="23">
        <f t="shared" si="22"/>
        <v>654.67297361730789</v>
      </c>
      <c r="U111" s="23">
        <f t="shared" si="22"/>
        <v>0</v>
      </c>
      <c r="V111" s="23">
        <f t="shared" si="22"/>
        <v>8214.4750162332912</v>
      </c>
      <c r="X111" s="6"/>
      <c r="Y111" s="6"/>
      <c r="Z111" s="6"/>
      <c r="AA111" s="6"/>
      <c r="AB111" s="6"/>
      <c r="AC111" s="1"/>
      <c r="AD111" s="6"/>
      <c r="AE111" s="6"/>
      <c r="AF111" s="6"/>
      <c r="AG111" s="6"/>
      <c r="AH111" s="6"/>
      <c r="AI111" s="6"/>
    </row>
    <row r="112" spans="1:35" ht="16.5" x14ac:dyDescent="0.3">
      <c r="A112" s="28"/>
      <c r="B112" s="28"/>
      <c r="C112" s="26" t="s">
        <v>544</v>
      </c>
      <c r="D112" s="1">
        <f t="shared" si="18"/>
        <v>38</v>
      </c>
      <c r="E112" s="6" t="s">
        <v>95</v>
      </c>
      <c r="F112" s="22">
        <f>SUM(G112:V112)</f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22">
        <v>0</v>
      </c>
      <c r="V112" s="22">
        <v>0</v>
      </c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</row>
    <row r="113" spans="1:35" ht="16.5" x14ac:dyDescent="0.3">
      <c r="A113" s="28"/>
      <c r="B113" s="28"/>
      <c r="C113" s="26" t="s">
        <v>545</v>
      </c>
      <c r="D113" s="1">
        <f t="shared" si="18"/>
        <v>39</v>
      </c>
      <c r="E113" s="6" t="s">
        <v>97</v>
      </c>
      <c r="F113" s="22">
        <f>SUM(G113:V113)</f>
        <v>-180126.59000000008</v>
      </c>
      <c r="G113" s="22">
        <v>-180126.59000000008</v>
      </c>
      <c r="H113" s="22">
        <v>0</v>
      </c>
      <c r="I113" s="22">
        <v>0</v>
      </c>
      <c r="J113" s="23">
        <v>0</v>
      </c>
      <c r="K113" s="23">
        <v>0</v>
      </c>
      <c r="L113" s="23">
        <v>0</v>
      </c>
      <c r="M113" s="23">
        <v>0</v>
      </c>
      <c r="N113" s="23">
        <v>0</v>
      </c>
      <c r="O113" s="23">
        <v>0</v>
      </c>
      <c r="P113" s="23">
        <v>0</v>
      </c>
      <c r="Q113" s="23">
        <v>0</v>
      </c>
      <c r="R113" s="23">
        <v>0</v>
      </c>
      <c r="S113" s="23">
        <v>0</v>
      </c>
      <c r="T113" s="23">
        <v>0</v>
      </c>
      <c r="U113" s="23">
        <v>0</v>
      </c>
      <c r="V113" s="23">
        <v>0</v>
      </c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</row>
    <row r="114" spans="1:35" ht="16.5" x14ac:dyDescent="0.3">
      <c r="A114" s="28"/>
      <c r="B114" s="28"/>
      <c r="C114" s="26" t="s">
        <v>99</v>
      </c>
      <c r="D114" s="1">
        <f t="shared" si="18"/>
        <v>40</v>
      </c>
      <c r="E114" s="6" t="s">
        <v>100</v>
      </c>
      <c r="F114" s="22">
        <v>0</v>
      </c>
      <c r="G114" s="23">
        <f t="shared" ref="G114:V115" si="23">$F114*(G$109/SUM($G$109:$V$109))</f>
        <v>0</v>
      </c>
      <c r="H114" s="23">
        <f t="shared" si="23"/>
        <v>0</v>
      </c>
      <c r="I114" s="23">
        <f t="shared" si="23"/>
        <v>0</v>
      </c>
      <c r="J114" s="23">
        <f t="shared" si="23"/>
        <v>0</v>
      </c>
      <c r="K114" s="23">
        <f t="shared" si="23"/>
        <v>0</v>
      </c>
      <c r="L114" s="23">
        <f t="shared" si="23"/>
        <v>0</v>
      </c>
      <c r="M114" s="23">
        <f t="shared" si="23"/>
        <v>0</v>
      </c>
      <c r="N114" s="23">
        <f t="shared" si="23"/>
        <v>0</v>
      </c>
      <c r="O114" s="23">
        <f t="shared" si="23"/>
        <v>0</v>
      </c>
      <c r="P114" s="23">
        <f t="shared" si="23"/>
        <v>0</v>
      </c>
      <c r="Q114" s="23">
        <f t="shared" si="23"/>
        <v>0</v>
      </c>
      <c r="R114" s="23">
        <f t="shared" si="23"/>
        <v>0</v>
      </c>
      <c r="S114" s="23">
        <f t="shared" si="23"/>
        <v>0</v>
      </c>
      <c r="T114" s="23">
        <f t="shared" si="23"/>
        <v>0</v>
      </c>
      <c r="U114" s="23">
        <f t="shared" si="23"/>
        <v>0</v>
      </c>
      <c r="V114" s="23">
        <f t="shared" si="23"/>
        <v>0</v>
      </c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</row>
    <row r="115" spans="1:35" ht="16.5" x14ac:dyDescent="0.3">
      <c r="A115" s="28"/>
      <c r="B115" s="28"/>
      <c r="C115" s="26" t="s">
        <v>533</v>
      </c>
      <c r="D115" s="1">
        <f>MAX(D113:D114)+NoOne</f>
        <v>41</v>
      </c>
      <c r="E115" s="6" t="s">
        <v>101</v>
      </c>
      <c r="F115" s="22">
        <v>13768408.7945775</v>
      </c>
      <c r="G115" s="23">
        <f t="shared" si="23"/>
        <v>4882361.6804868607</v>
      </c>
      <c r="H115" s="23">
        <f t="shared" si="23"/>
        <v>3163806.6200153087</v>
      </c>
      <c r="I115" s="23">
        <f t="shared" si="23"/>
        <v>3987969.0805018116</v>
      </c>
      <c r="J115" s="23">
        <f t="shared" si="23"/>
        <v>355987.30795430526</v>
      </c>
      <c r="K115" s="23">
        <f t="shared" si="23"/>
        <v>435193.88405105117</v>
      </c>
      <c r="L115" s="23">
        <f t="shared" si="23"/>
        <v>367566.61740360095</v>
      </c>
      <c r="M115" s="23">
        <f t="shared" si="23"/>
        <v>101128.0803185258</v>
      </c>
      <c r="N115" s="23">
        <f t="shared" si="23"/>
        <v>36297.843520936731</v>
      </c>
      <c r="O115" s="23">
        <f t="shared" si="23"/>
        <v>64250.199473347842</v>
      </c>
      <c r="P115" s="23">
        <f t="shared" si="23"/>
        <v>50755.366074045734</v>
      </c>
      <c r="Q115" s="23">
        <f t="shared" si="23"/>
        <v>58048.696916104011</v>
      </c>
      <c r="R115" s="23">
        <f t="shared" si="23"/>
        <v>12278.702872914397</v>
      </c>
      <c r="S115" s="23">
        <f t="shared" si="23"/>
        <v>47976.854341722297</v>
      </c>
      <c r="T115" s="23">
        <f t="shared" si="23"/>
        <v>15116.342386427243</v>
      </c>
      <c r="U115" s="23">
        <f t="shared" si="23"/>
        <v>0</v>
      </c>
      <c r="V115" s="23">
        <f t="shared" si="23"/>
        <v>189671.51826053642</v>
      </c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</row>
    <row r="116" spans="1:35" ht="17.25" thickBot="1" x14ac:dyDescent="0.35">
      <c r="A116" s="28">
        <f>SUM(G116:V116)-F116</f>
        <v>0</v>
      </c>
      <c r="B116" s="28"/>
      <c r="C116" s="29" t="s">
        <v>39</v>
      </c>
      <c r="D116" s="1">
        <f>MAX(D113:D115)+NoOne</f>
        <v>42</v>
      </c>
      <c r="E116" s="53" t="s">
        <v>108</v>
      </c>
      <c r="F116" s="41">
        <f t="shared" ref="F116:V116" si="24">SUM(F109:F115)</f>
        <v>2102740029.6428952</v>
      </c>
      <c r="G116" s="41">
        <f t="shared" si="24"/>
        <v>758094523.60939014</v>
      </c>
      <c r="H116" s="41">
        <f t="shared" si="24"/>
        <v>476193156.3922801</v>
      </c>
      <c r="I116" s="41">
        <f t="shared" si="24"/>
        <v>599698339.15013182</v>
      </c>
      <c r="J116" s="41">
        <f t="shared" si="24"/>
        <v>54644492.255983904</v>
      </c>
      <c r="K116" s="41">
        <f t="shared" si="24"/>
        <v>65092491.7251537</v>
      </c>
      <c r="L116" s="41">
        <f t="shared" si="24"/>
        <v>57156656.032113455</v>
      </c>
      <c r="M116" s="41">
        <f t="shared" si="24"/>
        <v>15716305.651248157</v>
      </c>
      <c r="N116" s="41">
        <f t="shared" si="24"/>
        <v>5583684.1831743438</v>
      </c>
      <c r="O116" s="41">
        <f t="shared" si="24"/>
        <v>9883585.0222947523</v>
      </c>
      <c r="P116" s="41">
        <f t="shared" si="24"/>
        <v>7917691.3495333279</v>
      </c>
      <c r="Q116" s="41">
        <f t="shared" si="24"/>
        <v>9050377.5382101908</v>
      </c>
      <c r="R116" s="41">
        <f t="shared" si="24"/>
        <v>1967526.7689431286</v>
      </c>
      <c r="S116" s="41">
        <f t="shared" si="24"/>
        <v>7527362.2459018575</v>
      </c>
      <c r="T116" s="41">
        <f t="shared" si="24"/>
        <v>2350428.8690874116</v>
      </c>
      <c r="U116" s="41">
        <f t="shared" si="24"/>
        <v>3543748.5312603628</v>
      </c>
      <c r="V116" s="41">
        <f t="shared" si="24"/>
        <v>28319660.318188228</v>
      </c>
      <c r="X116" s="6"/>
      <c r="Y116" s="6"/>
      <c r="Z116" s="6"/>
      <c r="AA116" s="6"/>
      <c r="AB116" s="6"/>
      <c r="AC116" s="53"/>
      <c r="AD116" s="6"/>
      <c r="AE116" s="6"/>
      <c r="AF116" s="6"/>
      <c r="AG116" s="6"/>
      <c r="AH116" s="6"/>
      <c r="AI116" s="6"/>
    </row>
    <row r="117" spans="1:35" ht="17.25" thickTop="1" x14ac:dyDescent="0.3">
      <c r="A117" s="28"/>
      <c r="B117" s="28"/>
      <c r="C117" s="26"/>
      <c r="D117" s="1"/>
      <c r="E117" s="6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</row>
    <row r="118" spans="1:35" ht="16.5" x14ac:dyDescent="0.3">
      <c r="A118" s="28"/>
      <c r="B118" s="28"/>
      <c r="C118" s="26"/>
      <c r="D118" s="1"/>
      <c r="E118" s="6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</row>
    <row r="119" spans="1:35" ht="16.5" x14ac:dyDescent="0.3">
      <c r="A119" s="28"/>
      <c r="B119" s="28"/>
      <c r="C119" s="26"/>
      <c r="D119" s="1"/>
      <c r="E119" s="6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</row>
    <row r="120" spans="1:35" ht="16.5" x14ac:dyDescent="0.3">
      <c r="A120" s="28"/>
      <c r="B120" s="28"/>
      <c r="C120" s="26"/>
      <c r="D120" s="1"/>
      <c r="E120" s="6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</row>
    <row r="121" spans="1:35" ht="16.5" x14ac:dyDescent="0.3">
      <c r="A121" s="28"/>
      <c r="B121" s="28"/>
      <c r="C121" s="26"/>
      <c r="D121" s="1"/>
      <c r="E121" s="6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42" t="s">
        <v>488</v>
      </c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</row>
    <row r="122" spans="1:35" ht="16.5" x14ac:dyDescent="0.3">
      <c r="A122" s="28"/>
      <c r="B122" s="28"/>
      <c r="C122" s="26"/>
      <c r="D122" s="1"/>
      <c r="E122" s="6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42" t="s">
        <v>110</v>
      </c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</row>
    <row r="123" spans="1:35" ht="16.5" x14ac:dyDescent="0.3">
      <c r="A123" s="43"/>
      <c r="B123" s="43"/>
      <c r="C123" s="44"/>
      <c r="D123" s="8" t="str">
        <f>D5</f>
        <v>NEWFOUNDLAND AND LABRADOR HYDRO</v>
      </c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8"/>
      <c r="W123" s="8"/>
      <c r="X123" s="8"/>
      <c r="Y123" s="8"/>
      <c r="Z123" s="6"/>
      <c r="AA123" s="6"/>
      <c r="AB123" s="6"/>
      <c r="AC123" s="10"/>
      <c r="AD123" s="6"/>
      <c r="AE123" s="6"/>
      <c r="AF123" s="6"/>
      <c r="AG123" s="6"/>
      <c r="AH123" s="6"/>
      <c r="AI123" s="6"/>
    </row>
    <row r="124" spans="1:35" ht="16.5" x14ac:dyDescent="0.3">
      <c r="A124" s="43"/>
      <c r="B124" s="43"/>
      <c r="C124" s="44"/>
      <c r="D124" s="8" t="str">
        <f>D6</f>
        <v>2027 Test Year Cost of Service Study (No Rate Mitigation)</v>
      </c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8"/>
      <c r="W124" s="8"/>
      <c r="X124" s="8"/>
      <c r="Y124" s="8"/>
      <c r="Z124" s="6"/>
      <c r="AA124" s="6"/>
      <c r="AB124" s="6"/>
      <c r="AC124" s="10"/>
      <c r="AD124" s="6"/>
      <c r="AE124" s="6"/>
      <c r="AF124" s="6"/>
      <c r="AG124" s="6"/>
      <c r="AH124" s="6"/>
      <c r="AI124" s="6"/>
    </row>
    <row r="125" spans="1:35" ht="16.5" x14ac:dyDescent="0.3">
      <c r="A125" s="43"/>
      <c r="B125" s="43"/>
      <c r="C125" s="44"/>
      <c r="D125" s="8" t="str">
        <f>$B$1</f>
        <v>Island Interconnected</v>
      </c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8"/>
      <c r="W125" s="8"/>
      <c r="X125" s="8"/>
      <c r="Y125" s="8"/>
      <c r="Z125" s="6"/>
      <c r="AA125" s="6"/>
      <c r="AB125" s="6"/>
      <c r="AC125" s="10"/>
      <c r="AD125" s="6"/>
      <c r="AE125" s="6"/>
      <c r="AF125" s="6"/>
      <c r="AG125" s="6"/>
      <c r="AH125" s="6"/>
      <c r="AI125" s="6"/>
    </row>
    <row r="126" spans="1:35" ht="16.5" x14ac:dyDescent="0.3">
      <c r="A126" s="43"/>
      <c r="B126" s="43"/>
      <c r="C126" s="44"/>
      <c r="D126" s="8" t="s">
        <v>111</v>
      </c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8"/>
      <c r="W126" s="8"/>
      <c r="X126" s="8"/>
      <c r="Y126" s="8"/>
      <c r="Z126" s="6"/>
      <c r="AA126" s="6"/>
      <c r="AB126" s="6"/>
      <c r="AC126" s="10"/>
      <c r="AD126" s="6"/>
      <c r="AE126" s="6"/>
      <c r="AF126" s="6"/>
      <c r="AG126" s="6"/>
      <c r="AH126" s="6"/>
      <c r="AI126" s="6"/>
    </row>
    <row r="127" spans="1:35" ht="16.5" x14ac:dyDescent="0.3">
      <c r="A127" s="45"/>
      <c r="B127" s="45"/>
      <c r="C127" s="45"/>
      <c r="D127" s="1"/>
      <c r="E127" s="1">
        <f t="shared" ref="E127:V127" si="25">MAX(D127)+NoOne</f>
        <v>1</v>
      </c>
      <c r="F127" s="1">
        <f t="shared" si="25"/>
        <v>2</v>
      </c>
      <c r="G127" s="1">
        <f t="shared" si="25"/>
        <v>3</v>
      </c>
      <c r="H127" s="1">
        <f t="shared" si="25"/>
        <v>4</v>
      </c>
      <c r="I127" s="1">
        <f t="shared" si="25"/>
        <v>5</v>
      </c>
      <c r="J127" s="1">
        <f t="shared" si="25"/>
        <v>6</v>
      </c>
      <c r="K127" s="1">
        <f t="shared" si="25"/>
        <v>7</v>
      </c>
      <c r="L127" s="1">
        <f t="shared" si="25"/>
        <v>8</v>
      </c>
      <c r="M127" s="1">
        <f t="shared" si="25"/>
        <v>9</v>
      </c>
      <c r="N127" s="1">
        <f t="shared" si="25"/>
        <v>10</v>
      </c>
      <c r="O127" s="1">
        <f t="shared" si="25"/>
        <v>11</v>
      </c>
      <c r="P127" s="1">
        <f t="shared" si="25"/>
        <v>12</v>
      </c>
      <c r="Q127" s="1">
        <f t="shared" si="25"/>
        <v>13</v>
      </c>
      <c r="R127" s="1">
        <f t="shared" si="25"/>
        <v>14</v>
      </c>
      <c r="S127" s="1">
        <f t="shared" si="25"/>
        <v>15</v>
      </c>
      <c r="T127" s="1">
        <f t="shared" si="25"/>
        <v>16</v>
      </c>
      <c r="U127" s="1">
        <f t="shared" si="25"/>
        <v>17</v>
      </c>
      <c r="V127" s="1">
        <f t="shared" si="25"/>
        <v>18</v>
      </c>
      <c r="X127" s="6"/>
      <c r="Y127" s="6"/>
      <c r="Z127" s="6"/>
      <c r="AA127" s="6"/>
      <c r="AB127" s="6"/>
      <c r="AC127" s="13"/>
      <c r="AD127" s="6"/>
      <c r="AE127" s="6"/>
      <c r="AF127" s="6"/>
      <c r="AG127" s="6"/>
      <c r="AH127" s="6"/>
      <c r="AI127" s="6"/>
    </row>
    <row r="128" spans="1:35" s="12" customFormat="1" ht="16.5" x14ac:dyDescent="0.3">
      <c r="A128" s="45"/>
      <c r="B128" s="45"/>
      <c r="C128" s="46"/>
      <c r="D128" s="1"/>
      <c r="E128" s="13"/>
      <c r="F128" s="25"/>
      <c r="G128" s="13"/>
      <c r="H128" s="13"/>
      <c r="J128" s="13" t="s">
        <v>8</v>
      </c>
      <c r="K128" s="47" t="s">
        <v>9</v>
      </c>
      <c r="L128" s="47"/>
      <c r="M128" s="47"/>
      <c r="N128" s="47"/>
      <c r="O128" s="47"/>
      <c r="P128" s="47"/>
      <c r="Q128" s="47"/>
      <c r="R128" s="47"/>
      <c r="S128" s="47"/>
      <c r="T128" s="47"/>
      <c r="U128" s="23"/>
      <c r="V128" s="25" t="s">
        <v>10</v>
      </c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</row>
    <row r="129" spans="1:35" s="12" customFormat="1" ht="16.5" x14ac:dyDescent="0.3">
      <c r="A129" s="45"/>
      <c r="B129" s="45"/>
      <c r="C129" s="46"/>
      <c r="D129" s="1" t="s">
        <v>14</v>
      </c>
      <c r="E129" s="13"/>
      <c r="F129" s="25" t="s">
        <v>15</v>
      </c>
      <c r="G129" s="13" t="s">
        <v>16</v>
      </c>
      <c r="H129" s="13" t="s">
        <v>16</v>
      </c>
      <c r="I129" s="13" t="s">
        <v>17</v>
      </c>
      <c r="J129" s="25" t="s">
        <v>17</v>
      </c>
      <c r="K129" s="25" t="s">
        <v>18</v>
      </c>
      <c r="L129" s="47" t="s">
        <v>19</v>
      </c>
      <c r="M129" s="47"/>
      <c r="N129" s="47" t="s">
        <v>20</v>
      </c>
      <c r="O129" s="47"/>
      <c r="P129" s="47" t="s">
        <v>21</v>
      </c>
      <c r="Q129" s="47"/>
      <c r="R129" s="48" t="s">
        <v>22</v>
      </c>
      <c r="S129" s="48" t="s">
        <v>23</v>
      </c>
      <c r="T129" s="49" t="s">
        <v>24</v>
      </c>
      <c r="U129" s="48" t="s">
        <v>25</v>
      </c>
      <c r="V129" s="25" t="s">
        <v>26</v>
      </c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</row>
    <row r="130" spans="1:35" s="12" customFormat="1" ht="16.5" x14ac:dyDescent="0.3">
      <c r="A130" s="45"/>
      <c r="B130" s="45"/>
      <c r="C130" s="46"/>
      <c r="D130" s="1" t="s">
        <v>30</v>
      </c>
      <c r="E130" s="13" t="s">
        <v>31</v>
      </c>
      <c r="F130" s="25" t="s">
        <v>32</v>
      </c>
      <c r="G130" s="25" t="s">
        <v>33</v>
      </c>
      <c r="H130" s="25" t="s">
        <v>34</v>
      </c>
      <c r="I130" s="13" t="s">
        <v>33</v>
      </c>
      <c r="J130" s="25" t="s">
        <v>33</v>
      </c>
      <c r="K130" s="25" t="s">
        <v>33</v>
      </c>
      <c r="L130" s="25" t="s">
        <v>33</v>
      </c>
      <c r="M130" s="25" t="s">
        <v>35</v>
      </c>
      <c r="N130" s="25" t="s">
        <v>33</v>
      </c>
      <c r="O130" s="25" t="s">
        <v>35</v>
      </c>
      <c r="P130" s="25" t="s">
        <v>33</v>
      </c>
      <c r="Q130" s="25" t="s">
        <v>35</v>
      </c>
      <c r="R130" s="25" t="s">
        <v>35</v>
      </c>
      <c r="S130" s="25" t="s">
        <v>35</v>
      </c>
      <c r="T130" s="25" t="s">
        <v>35</v>
      </c>
      <c r="U130" s="25" t="s">
        <v>35</v>
      </c>
      <c r="V130" s="25" t="s">
        <v>35</v>
      </c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</row>
    <row r="131" spans="1:35" s="12" customFormat="1" ht="16.5" x14ac:dyDescent="0.3">
      <c r="A131" s="45"/>
      <c r="B131" s="45"/>
      <c r="C131" s="46"/>
      <c r="D131" s="1"/>
      <c r="E131" s="20" t="s">
        <v>16</v>
      </c>
      <c r="F131" s="25" t="s">
        <v>37</v>
      </c>
      <c r="G131" s="25" t="s">
        <v>37</v>
      </c>
      <c r="H131" s="25" t="s">
        <v>37</v>
      </c>
      <c r="I131" s="13" t="s">
        <v>37</v>
      </c>
      <c r="J131" s="25" t="s">
        <v>37</v>
      </c>
      <c r="K131" s="25" t="s">
        <v>37</v>
      </c>
      <c r="L131" s="25" t="s">
        <v>37</v>
      </c>
      <c r="M131" s="25" t="s">
        <v>37</v>
      </c>
      <c r="N131" s="25" t="s">
        <v>37</v>
      </c>
      <c r="O131" s="25" t="s">
        <v>37</v>
      </c>
      <c r="P131" s="25" t="s">
        <v>37</v>
      </c>
      <c r="Q131" s="25" t="s">
        <v>37</v>
      </c>
      <c r="R131" s="25" t="s">
        <v>37</v>
      </c>
      <c r="S131" s="25" t="s">
        <v>37</v>
      </c>
      <c r="T131" s="25" t="s">
        <v>37</v>
      </c>
      <c r="U131" s="25" t="s">
        <v>37</v>
      </c>
      <c r="V131" s="25" t="s">
        <v>37</v>
      </c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</row>
    <row r="132" spans="1:35" ht="16.5" x14ac:dyDescent="0.3">
      <c r="A132" s="28"/>
      <c r="B132" s="28"/>
      <c r="C132" s="26"/>
      <c r="D132" s="1"/>
      <c r="E132" s="20" t="s">
        <v>38</v>
      </c>
      <c r="F132" s="22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X132" s="6"/>
      <c r="Y132" s="6"/>
      <c r="Z132" s="6"/>
      <c r="AA132" s="6"/>
      <c r="AB132" s="6"/>
      <c r="AC132" s="20"/>
      <c r="AD132" s="6"/>
      <c r="AE132" s="6"/>
      <c r="AF132" s="6"/>
      <c r="AG132" s="6"/>
      <c r="AH132" s="6"/>
      <c r="AI132" s="6"/>
    </row>
    <row r="133" spans="1:35" ht="16.5" x14ac:dyDescent="0.3">
      <c r="A133" s="28"/>
      <c r="B133" s="28"/>
      <c r="C133" s="24" t="s">
        <v>40</v>
      </c>
      <c r="D133" s="1">
        <f t="shared" ref="D133:D147" si="26">MAX(D130:D132)+NoOne</f>
        <v>1</v>
      </c>
      <c r="E133" s="6" t="s">
        <v>41</v>
      </c>
      <c r="F133" s="22">
        <v>18997664.585060131</v>
      </c>
      <c r="G133" s="22">
        <v>9444255.0632939618</v>
      </c>
      <c r="H133" s="22">
        <v>9553409.521766169</v>
      </c>
      <c r="I133" s="22">
        <v>0</v>
      </c>
      <c r="J133" s="22">
        <v>0</v>
      </c>
      <c r="K133" s="22">
        <v>0</v>
      </c>
      <c r="L133" s="22">
        <v>0</v>
      </c>
      <c r="M133" s="22">
        <v>0</v>
      </c>
      <c r="N133" s="22">
        <v>0</v>
      </c>
      <c r="O133" s="22">
        <v>0</v>
      </c>
      <c r="P133" s="22">
        <v>0</v>
      </c>
      <c r="Q133" s="22">
        <v>0</v>
      </c>
      <c r="R133" s="22">
        <v>0</v>
      </c>
      <c r="S133" s="22">
        <v>0</v>
      </c>
      <c r="T133" s="22">
        <v>0</v>
      </c>
      <c r="U133" s="22">
        <v>0</v>
      </c>
      <c r="V133" s="22">
        <v>0</v>
      </c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</row>
    <row r="134" spans="1:35" ht="16.5" x14ac:dyDescent="0.3">
      <c r="A134" s="28"/>
      <c r="B134" s="28"/>
      <c r="C134" s="26" t="s">
        <v>42</v>
      </c>
      <c r="D134" s="1">
        <f t="shared" si="26"/>
        <v>2</v>
      </c>
      <c r="E134" s="6" t="s">
        <v>43</v>
      </c>
      <c r="F134" s="22">
        <v>14735.310000000012</v>
      </c>
      <c r="G134" s="22">
        <v>7325.3228286884087</v>
      </c>
      <c r="H134" s="22">
        <v>7409.9871713116036</v>
      </c>
      <c r="I134" s="22">
        <v>0</v>
      </c>
      <c r="J134" s="22">
        <v>0</v>
      </c>
      <c r="K134" s="22">
        <v>0</v>
      </c>
      <c r="L134" s="22">
        <v>0</v>
      </c>
      <c r="M134" s="22">
        <v>0</v>
      </c>
      <c r="N134" s="22">
        <v>0</v>
      </c>
      <c r="O134" s="22">
        <v>0</v>
      </c>
      <c r="P134" s="22">
        <v>0</v>
      </c>
      <c r="Q134" s="22">
        <v>0</v>
      </c>
      <c r="R134" s="22">
        <v>0</v>
      </c>
      <c r="S134" s="22">
        <v>0</v>
      </c>
      <c r="T134" s="22">
        <v>0</v>
      </c>
      <c r="U134" s="22">
        <v>0</v>
      </c>
      <c r="V134" s="22">
        <v>0</v>
      </c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</row>
    <row r="135" spans="1:35" ht="16.5" x14ac:dyDescent="0.3">
      <c r="A135" s="28"/>
      <c r="B135" s="28"/>
      <c r="C135" s="24" t="s">
        <v>44</v>
      </c>
      <c r="D135" s="1">
        <f t="shared" si="26"/>
        <v>3</v>
      </c>
      <c r="E135" s="6" t="s">
        <v>45</v>
      </c>
      <c r="F135" s="22">
        <v>30668.389999999996</v>
      </c>
      <c r="G135" s="22">
        <v>15246.089657164937</v>
      </c>
      <c r="H135" s="22">
        <v>15422.300342835058</v>
      </c>
      <c r="I135" s="22">
        <v>0</v>
      </c>
      <c r="J135" s="22">
        <v>0</v>
      </c>
      <c r="K135" s="22">
        <v>0</v>
      </c>
      <c r="L135" s="22">
        <v>0</v>
      </c>
      <c r="M135" s="22">
        <v>0</v>
      </c>
      <c r="N135" s="22">
        <v>0</v>
      </c>
      <c r="O135" s="22">
        <v>0</v>
      </c>
      <c r="P135" s="22">
        <v>0</v>
      </c>
      <c r="Q135" s="22">
        <v>0</v>
      </c>
      <c r="R135" s="22">
        <v>0</v>
      </c>
      <c r="S135" s="22">
        <v>0</v>
      </c>
      <c r="T135" s="22">
        <v>0</v>
      </c>
      <c r="U135" s="22">
        <v>0</v>
      </c>
      <c r="V135" s="22">
        <v>0</v>
      </c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</row>
    <row r="136" spans="1:35" ht="16.5" x14ac:dyDescent="0.3">
      <c r="A136" s="28"/>
      <c r="B136" s="28"/>
      <c r="C136" s="24" t="s">
        <v>46</v>
      </c>
      <c r="D136" s="1">
        <f t="shared" si="26"/>
        <v>4</v>
      </c>
      <c r="E136" s="6" t="s">
        <v>47</v>
      </c>
      <c r="F136" s="22">
        <v>5514.5999999999958</v>
      </c>
      <c r="G136" s="22">
        <v>2741.4574427741959</v>
      </c>
      <c r="H136" s="22">
        <v>2773.1425572257999</v>
      </c>
      <c r="I136" s="22">
        <v>0</v>
      </c>
      <c r="J136" s="22">
        <v>0</v>
      </c>
      <c r="K136" s="22">
        <v>0</v>
      </c>
      <c r="L136" s="22">
        <v>0</v>
      </c>
      <c r="M136" s="22">
        <v>0</v>
      </c>
      <c r="N136" s="22">
        <v>0</v>
      </c>
      <c r="O136" s="22">
        <v>0</v>
      </c>
      <c r="P136" s="22">
        <v>0</v>
      </c>
      <c r="Q136" s="22">
        <v>0</v>
      </c>
      <c r="R136" s="22">
        <v>0</v>
      </c>
      <c r="S136" s="22">
        <v>0</v>
      </c>
      <c r="T136" s="22">
        <v>0</v>
      </c>
      <c r="U136" s="22">
        <v>0</v>
      </c>
      <c r="V136" s="22">
        <v>0</v>
      </c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</row>
    <row r="137" spans="1:35" ht="16.5" x14ac:dyDescent="0.3">
      <c r="A137" s="28"/>
      <c r="B137" s="28"/>
      <c r="C137" s="24" t="s">
        <v>48</v>
      </c>
      <c r="D137" s="1">
        <f t="shared" si="26"/>
        <v>5</v>
      </c>
      <c r="E137" s="6" t="s">
        <v>49</v>
      </c>
      <c r="F137" s="22">
        <v>171.60999999999984</v>
      </c>
      <c r="G137" s="22">
        <v>85.311992121727712</v>
      </c>
      <c r="H137" s="22">
        <v>86.298007878272131</v>
      </c>
      <c r="I137" s="22">
        <v>0</v>
      </c>
      <c r="J137" s="22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2">
        <v>0</v>
      </c>
      <c r="Q137" s="22">
        <v>0</v>
      </c>
      <c r="R137" s="22">
        <v>0</v>
      </c>
      <c r="S137" s="22">
        <v>0</v>
      </c>
      <c r="T137" s="22">
        <v>0</v>
      </c>
      <c r="U137" s="22">
        <v>0</v>
      </c>
      <c r="V137" s="22">
        <v>0</v>
      </c>
      <c r="X137" s="6"/>
      <c r="Y137" s="6"/>
      <c r="Z137" s="6"/>
      <c r="AA137" s="6"/>
      <c r="AB137" s="6"/>
      <c r="AC137" s="1"/>
      <c r="AD137" s="6"/>
      <c r="AE137" s="6"/>
      <c r="AF137" s="6"/>
      <c r="AG137" s="6"/>
      <c r="AH137" s="6"/>
      <c r="AI137" s="6"/>
    </row>
    <row r="138" spans="1:35" ht="16.5" x14ac:dyDescent="0.3">
      <c r="A138" s="28"/>
      <c r="B138" s="28"/>
      <c r="C138" s="24" t="s">
        <v>50</v>
      </c>
      <c r="D138" s="1">
        <f t="shared" si="26"/>
        <v>6</v>
      </c>
      <c r="E138" s="6" t="s">
        <v>51</v>
      </c>
      <c r="F138" s="22">
        <v>11635.87000000001</v>
      </c>
      <c r="G138" s="22">
        <v>5784.5070203918749</v>
      </c>
      <c r="H138" s="22">
        <v>5851.362979608135</v>
      </c>
      <c r="I138" s="22">
        <v>0</v>
      </c>
      <c r="J138" s="22">
        <v>0</v>
      </c>
      <c r="K138" s="22">
        <v>0</v>
      </c>
      <c r="L138" s="22">
        <v>0</v>
      </c>
      <c r="M138" s="22">
        <v>0</v>
      </c>
      <c r="N138" s="22">
        <v>0</v>
      </c>
      <c r="O138" s="22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</row>
    <row r="139" spans="1:35" ht="16.5" x14ac:dyDescent="0.3">
      <c r="A139" s="28"/>
      <c r="B139" s="28"/>
      <c r="C139" s="24" t="s">
        <v>52</v>
      </c>
      <c r="D139" s="1">
        <f t="shared" si="26"/>
        <v>7</v>
      </c>
      <c r="E139" s="6" t="s">
        <v>53</v>
      </c>
      <c r="F139" s="22">
        <v>0</v>
      </c>
      <c r="G139" s="22">
        <v>0</v>
      </c>
      <c r="H139" s="22">
        <v>0</v>
      </c>
      <c r="I139" s="22">
        <v>0</v>
      </c>
      <c r="J139" s="22">
        <v>0</v>
      </c>
      <c r="K139" s="22">
        <v>0</v>
      </c>
      <c r="L139" s="22">
        <v>0</v>
      </c>
      <c r="M139" s="22">
        <v>0</v>
      </c>
      <c r="N139" s="22">
        <v>0</v>
      </c>
      <c r="O139" s="22">
        <v>0</v>
      </c>
      <c r="P139" s="22">
        <v>0</v>
      </c>
      <c r="Q139" s="22">
        <v>0</v>
      </c>
      <c r="R139" s="22">
        <v>0</v>
      </c>
      <c r="S139" s="22">
        <v>0</v>
      </c>
      <c r="T139" s="22">
        <v>0</v>
      </c>
      <c r="U139" s="22">
        <v>0</v>
      </c>
      <c r="V139" s="22">
        <v>0</v>
      </c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</row>
    <row r="140" spans="1:35" ht="16.5" x14ac:dyDescent="0.3">
      <c r="A140" s="28"/>
      <c r="B140" s="28"/>
      <c r="C140" s="24"/>
      <c r="D140" s="1">
        <f t="shared" si="26"/>
        <v>8</v>
      </c>
      <c r="E140" s="6" t="s">
        <v>112</v>
      </c>
      <c r="F140" s="22">
        <v>720638</v>
      </c>
      <c r="G140" s="22">
        <v>358248.72314327647</v>
      </c>
      <c r="H140" s="22">
        <v>362389.27685672353</v>
      </c>
      <c r="I140" s="22">
        <v>0</v>
      </c>
      <c r="J140" s="22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0</v>
      </c>
      <c r="Q140" s="22">
        <v>0</v>
      </c>
      <c r="R140" s="22">
        <v>0</v>
      </c>
      <c r="S140" s="22">
        <v>0</v>
      </c>
      <c r="T140" s="22">
        <v>0</v>
      </c>
      <c r="U140" s="22">
        <v>0</v>
      </c>
      <c r="V140" s="22">
        <v>0</v>
      </c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</row>
    <row r="141" spans="1:35" ht="16.5" x14ac:dyDescent="0.3">
      <c r="A141" s="28"/>
      <c r="B141" s="28"/>
      <c r="C141" s="24" t="s">
        <v>56</v>
      </c>
      <c r="D141" s="1">
        <f t="shared" si="26"/>
        <v>9</v>
      </c>
      <c r="E141" s="6" t="s">
        <v>106</v>
      </c>
      <c r="F141" s="22">
        <v>3221.89</v>
      </c>
      <c r="G141" s="22">
        <v>1601.6890291770499</v>
      </c>
      <c r="H141" s="22">
        <v>1620.20097082295</v>
      </c>
      <c r="I141" s="22">
        <v>0</v>
      </c>
      <c r="J141" s="22">
        <v>0</v>
      </c>
      <c r="K141" s="22">
        <v>0</v>
      </c>
      <c r="L141" s="22">
        <v>0</v>
      </c>
      <c r="M141" s="22">
        <v>0</v>
      </c>
      <c r="N141" s="22">
        <v>0</v>
      </c>
      <c r="O141" s="22">
        <v>0</v>
      </c>
      <c r="P141" s="22">
        <v>0</v>
      </c>
      <c r="Q141" s="22">
        <v>0</v>
      </c>
      <c r="R141" s="22">
        <v>0</v>
      </c>
      <c r="S141" s="22">
        <v>0</v>
      </c>
      <c r="T141" s="22">
        <v>0</v>
      </c>
      <c r="U141" s="22">
        <v>0</v>
      </c>
      <c r="V141" s="22">
        <v>0</v>
      </c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</row>
    <row r="142" spans="1:35" ht="16.5" x14ac:dyDescent="0.3">
      <c r="A142" s="28">
        <f>SUM(G142:V142)-F142</f>
        <v>0</v>
      </c>
      <c r="B142" s="28"/>
      <c r="C142" s="29" t="s">
        <v>39</v>
      </c>
      <c r="D142" s="1">
        <f>MAX(D137:D141)+NoOne</f>
        <v>10</v>
      </c>
      <c r="E142" s="20" t="s">
        <v>58</v>
      </c>
      <c r="F142" s="30">
        <f>SUM(F133:F141)</f>
        <v>19784250.255060133</v>
      </c>
      <c r="G142" s="30">
        <f>SUM(G133:G141)</f>
        <v>9835288.164407555</v>
      </c>
      <c r="H142" s="30">
        <f>SUM(H133:H141)</f>
        <v>9948962.0906525739</v>
      </c>
      <c r="I142" s="30">
        <f>SUM(I133:I141)</f>
        <v>0</v>
      </c>
      <c r="J142" s="30">
        <f>SUM(J133:J141)</f>
        <v>0</v>
      </c>
      <c r="K142" s="30">
        <v>0</v>
      </c>
      <c r="L142" s="30">
        <v>0</v>
      </c>
      <c r="M142" s="30">
        <v>0</v>
      </c>
      <c r="N142" s="30">
        <v>0</v>
      </c>
      <c r="O142" s="30">
        <v>0</v>
      </c>
      <c r="P142" s="30">
        <v>0</v>
      </c>
      <c r="Q142" s="30">
        <v>0</v>
      </c>
      <c r="R142" s="30">
        <v>0</v>
      </c>
      <c r="S142" s="30">
        <v>0</v>
      </c>
      <c r="T142" s="30">
        <v>0</v>
      </c>
      <c r="U142" s="30">
        <v>0</v>
      </c>
      <c r="V142" s="30">
        <v>0</v>
      </c>
      <c r="X142" s="6"/>
      <c r="Y142" s="6"/>
      <c r="Z142" s="6"/>
      <c r="AA142" s="6"/>
      <c r="AB142" s="6"/>
      <c r="AC142" s="20"/>
      <c r="AD142" s="6"/>
      <c r="AE142" s="6"/>
      <c r="AF142" s="6"/>
      <c r="AG142" s="6"/>
      <c r="AH142" s="6"/>
      <c r="AI142" s="6"/>
    </row>
    <row r="143" spans="1:35" ht="16.5" x14ac:dyDescent="0.3">
      <c r="A143" s="28"/>
      <c r="B143" s="28"/>
      <c r="C143" s="26" t="s">
        <v>546</v>
      </c>
      <c r="D143" s="1">
        <f>MAX(D138:D142)+NoOne</f>
        <v>11</v>
      </c>
      <c r="E143" s="6" t="s">
        <v>60</v>
      </c>
      <c r="F143" s="22">
        <f>SUM(G143:V143)</f>
        <v>31706546.567149986</v>
      </c>
      <c r="G143" s="22">
        <v>28168095.970256045</v>
      </c>
      <c r="H143" s="22">
        <v>3538450.5968939387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0</v>
      </c>
      <c r="Q143" s="22">
        <v>0</v>
      </c>
      <c r="R143" s="22">
        <v>0</v>
      </c>
      <c r="S143" s="22">
        <v>0</v>
      </c>
      <c r="T143" s="22">
        <v>0</v>
      </c>
      <c r="U143" s="22">
        <v>0</v>
      </c>
      <c r="V143" s="22">
        <v>0</v>
      </c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</row>
    <row r="144" spans="1:35" ht="16.5" x14ac:dyDescent="0.3">
      <c r="A144" s="28"/>
      <c r="B144" s="28"/>
      <c r="C144" s="24" t="s">
        <v>61</v>
      </c>
      <c r="D144" s="1">
        <f t="shared" si="26"/>
        <v>12</v>
      </c>
      <c r="E144" s="6" t="s">
        <v>62</v>
      </c>
      <c r="F144" s="22">
        <v>5751896.9788173409</v>
      </c>
      <c r="G144" s="22">
        <v>5751896.9788173409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2">
        <v>0</v>
      </c>
      <c r="Q144" s="22">
        <v>0</v>
      </c>
      <c r="R144" s="22">
        <v>0</v>
      </c>
      <c r="S144" s="22">
        <v>0</v>
      </c>
      <c r="T144" s="22">
        <v>0</v>
      </c>
      <c r="U144" s="22">
        <v>0</v>
      </c>
      <c r="V144" s="22">
        <v>0</v>
      </c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</row>
    <row r="145" spans="1:35" ht="16.5" x14ac:dyDescent="0.3">
      <c r="A145" s="28"/>
      <c r="B145" s="28"/>
      <c r="C145" s="26" t="s">
        <v>63</v>
      </c>
      <c r="D145" s="1">
        <f t="shared" si="26"/>
        <v>13</v>
      </c>
      <c r="E145" s="6" t="s">
        <v>64</v>
      </c>
      <c r="F145" s="22">
        <v>0</v>
      </c>
      <c r="G145" s="22">
        <v>0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22">
        <v>0</v>
      </c>
      <c r="P145" s="22">
        <v>0</v>
      </c>
      <c r="Q145" s="22">
        <v>0</v>
      </c>
      <c r="R145" s="22">
        <v>0</v>
      </c>
      <c r="S145" s="22">
        <v>0</v>
      </c>
      <c r="T145" s="22">
        <v>0</v>
      </c>
      <c r="U145" s="22">
        <v>0</v>
      </c>
      <c r="V145" s="22">
        <v>0</v>
      </c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</row>
    <row r="146" spans="1:35" ht="16.5" x14ac:dyDescent="0.3">
      <c r="A146" s="28"/>
      <c r="B146" s="28"/>
      <c r="C146" s="26" t="s">
        <v>547</v>
      </c>
      <c r="D146" s="1">
        <f t="shared" si="26"/>
        <v>14</v>
      </c>
      <c r="E146" s="6" t="s">
        <v>65</v>
      </c>
      <c r="F146" s="22">
        <f>SUM(G146:V146)</f>
        <v>200824.0009562136</v>
      </c>
      <c r="G146" s="22">
        <v>200824.0009562136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  <c r="Q146" s="22">
        <v>0</v>
      </c>
      <c r="R146" s="22">
        <v>0</v>
      </c>
      <c r="S146" s="22">
        <v>0</v>
      </c>
      <c r="T146" s="22">
        <v>0</v>
      </c>
      <c r="U146" s="22">
        <v>0</v>
      </c>
      <c r="V146" s="22">
        <v>0</v>
      </c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</row>
    <row r="147" spans="1:35" ht="16.5" x14ac:dyDescent="0.3">
      <c r="A147" s="28">
        <f>SUM(G147:V147)-F147</f>
        <v>0</v>
      </c>
      <c r="B147" s="28"/>
      <c r="C147" s="29" t="s">
        <v>39</v>
      </c>
      <c r="D147" s="1">
        <f t="shared" si="26"/>
        <v>15</v>
      </c>
      <c r="E147" s="20" t="s">
        <v>66</v>
      </c>
      <c r="F147" s="30">
        <f>SUM(F142:F146)</f>
        <v>57443517.801983677</v>
      </c>
      <c r="G147" s="30">
        <f>SUM(G142:G146)</f>
        <v>43956105.114437155</v>
      </c>
      <c r="H147" s="30">
        <f>SUM(H142:H146)</f>
        <v>13487412.687546512</v>
      </c>
      <c r="I147" s="30">
        <f>SUM(I142:I146)</f>
        <v>0</v>
      </c>
      <c r="J147" s="30">
        <f>SUM(J142:J146)</f>
        <v>0</v>
      </c>
      <c r="K147" s="30">
        <v>0</v>
      </c>
      <c r="L147" s="30">
        <v>0</v>
      </c>
      <c r="M147" s="30">
        <v>0</v>
      </c>
      <c r="N147" s="30">
        <v>0</v>
      </c>
      <c r="O147" s="30">
        <v>0</v>
      </c>
      <c r="P147" s="30">
        <v>0</v>
      </c>
      <c r="Q147" s="30">
        <v>0</v>
      </c>
      <c r="R147" s="30">
        <v>0</v>
      </c>
      <c r="S147" s="30">
        <v>0</v>
      </c>
      <c r="T147" s="30">
        <v>0</v>
      </c>
      <c r="U147" s="30">
        <v>0</v>
      </c>
      <c r="V147" s="30">
        <v>0</v>
      </c>
      <c r="X147" s="6"/>
      <c r="Y147" s="6"/>
      <c r="Z147" s="6"/>
      <c r="AA147" s="6"/>
      <c r="AB147" s="6"/>
      <c r="AC147" s="20"/>
      <c r="AD147" s="6"/>
      <c r="AE147" s="6"/>
      <c r="AF147" s="6"/>
      <c r="AG147" s="6"/>
      <c r="AH147" s="6"/>
      <c r="AI147" s="6"/>
    </row>
    <row r="148" spans="1:35" ht="16.5" x14ac:dyDescent="0.3">
      <c r="A148" s="28"/>
      <c r="B148" s="28"/>
      <c r="C148" s="26"/>
      <c r="D148" s="1"/>
      <c r="E148" s="20" t="s">
        <v>17</v>
      </c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X148" s="6"/>
      <c r="Y148" s="6"/>
      <c r="Z148" s="6"/>
      <c r="AA148" s="6"/>
      <c r="AB148" s="6"/>
      <c r="AC148" s="20"/>
      <c r="AD148" s="6"/>
      <c r="AE148" s="6"/>
      <c r="AF148" s="6"/>
      <c r="AG148" s="6"/>
      <c r="AH148" s="6"/>
      <c r="AI148" s="6"/>
    </row>
    <row r="149" spans="1:35" ht="16.5" x14ac:dyDescent="0.3">
      <c r="A149" s="28"/>
      <c r="B149" s="28"/>
      <c r="C149" s="26" t="s">
        <v>548</v>
      </c>
      <c r="D149" s="1">
        <f t="shared" ref="D149:D156" si="27">MAX(D146:D148)+NoOne</f>
        <v>16</v>
      </c>
      <c r="E149" s="6" t="s">
        <v>67</v>
      </c>
      <c r="F149" s="22">
        <f>SUM(G149:V149)</f>
        <v>10711224.950569261</v>
      </c>
      <c r="G149" s="22">
        <v>303275.59920626739</v>
      </c>
      <c r="H149" s="22">
        <v>306780.78660086193</v>
      </c>
      <c r="I149" s="22">
        <v>8146138.8384764306</v>
      </c>
      <c r="J149" s="22">
        <v>1411968.2187662811</v>
      </c>
      <c r="K149" s="22">
        <v>0</v>
      </c>
      <c r="L149" s="22">
        <v>0</v>
      </c>
      <c r="M149" s="22">
        <v>0</v>
      </c>
      <c r="N149" s="22">
        <v>0</v>
      </c>
      <c r="O149" s="22">
        <v>0</v>
      </c>
      <c r="P149" s="22">
        <v>0</v>
      </c>
      <c r="Q149" s="22">
        <v>0</v>
      </c>
      <c r="R149" s="22">
        <v>0</v>
      </c>
      <c r="S149" s="22">
        <v>0</v>
      </c>
      <c r="T149" s="22">
        <v>0</v>
      </c>
      <c r="U149" s="22">
        <v>0</v>
      </c>
      <c r="V149" s="22">
        <v>543061.50751942117</v>
      </c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</row>
    <row r="150" spans="1:35" ht="16.5" x14ac:dyDescent="0.3">
      <c r="A150" s="28"/>
      <c r="B150" s="28"/>
      <c r="C150" s="26" t="s">
        <v>549</v>
      </c>
      <c r="D150" s="1">
        <f t="shared" si="27"/>
        <v>17</v>
      </c>
      <c r="E150" s="6" t="s">
        <v>113</v>
      </c>
      <c r="F150" s="22">
        <f>SUM(G150:V150)</f>
        <v>7749077.759202688</v>
      </c>
      <c r="G150" s="22">
        <v>0</v>
      </c>
      <c r="H150" s="22">
        <v>0</v>
      </c>
      <c r="I150" s="22">
        <v>6810065.1129261181</v>
      </c>
      <c r="J150" s="22">
        <v>568683.71618948143</v>
      </c>
      <c r="K150" s="22">
        <v>0</v>
      </c>
      <c r="L150" s="22">
        <v>0</v>
      </c>
      <c r="M150" s="22">
        <v>0</v>
      </c>
      <c r="N150" s="22">
        <v>0</v>
      </c>
      <c r="O150" s="22">
        <v>0</v>
      </c>
      <c r="P150" s="22">
        <v>0</v>
      </c>
      <c r="Q150" s="22">
        <v>0</v>
      </c>
      <c r="R150" s="22">
        <v>0</v>
      </c>
      <c r="S150" s="22">
        <v>0</v>
      </c>
      <c r="T150" s="22">
        <v>0</v>
      </c>
      <c r="U150" s="22">
        <v>0</v>
      </c>
      <c r="V150" s="22">
        <v>370328.93008708872</v>
      </c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</row>
    <row r="151" spans="1:35" ht="16.5" x14ac:dyDescent="0.3">
      <c r="A151" s="32"/>
      <c r="B151" s="32"/>
      <c r="C151" s="26" t="s">
        <v>550</v>
      </c>
      <c r="D151" s="1">
        <f>MAX(D149:D150)+NoOne</f>
        <v>18</v>
      </c>
      <c r="E151" s="33" t="str">
        <f>+E33</f>
        <v>Term Stns - Hydraulic</v>
      </c>
      <c r="F151" s="22">
        <f>SUM(G151:V151)</f>
        <v>930929.09119260404</v>
      </c>
      <c r="G151" s="22">
        <v>462790.13631904114</v>
      </c>
      <c r="H151" s="22">
        <v>468138.95487356291</v>
      </c>
      <c r="I151" s="22">
        <v>0</v>
      </c>
      <c r="J151" s="22">
        <v>0</v>
      </c>
      <c r="K151" s="22">
        <v>0</v>
      </c>
      <c r="L151" s="22">
        <v>0</v>
      </c>
      <c r="M151" s="22">
        <v>0</v>
      </c>
      <c r="N151" s="22">
        <v>0</v>
      </c>
      <c r="O151" s="22">
        <v>0</v>
      </c>
      <c r="P151" s="22">
        <v>0</v>
      </c>
      <c r="Q151" s="22">
        <v>0</v>
      </c>
      <c r="R151" s="22">
        <v>0</v>
      </c>
      <c r="S151" s="22">
        <v>0</v>
      </c>
      <c r="T151" s="22">
        <v>0</v>
      </c>
      <c r="U151" s="22">
        <v>0</v>
      </c>
      <c r="V151" s="22">
        <v>0</v>
      </c>
      <c r="X151" s="6"/>
      <c r="Y151" s="6"/>
      <c r="Z151" s="6"/>
      <c r="AA151" s="6"/>
      <c r="AB151" s="6"/>
      <c r="AC151" s="33"/>
      <c r="AD151" s="6"/>
      <c r="AE151" s="6"/>
      <c r="AF151" s="6"/>
      <c r="AG151" s="6"/>
      <c r="AH151" s="6"/>
      <c r="AI151" s="6"/>
    </row>
    <row r="152" spans="1:35" ht="16.5" x14ac:dyDescent="0.3">
      <c r="A152" s="32"/>
      <c r="B152" s="32"/>
      <c r="C152" s="26" t="s">
        <v>70</v>
      </c>
      <c r="D152" s="1">
        <f>MAX(D150:D151)+NoOne</f>
        <v>19</v>
      </c>
      <c r="E152" s="33" t="str">
        <f>+E34</f>
        <v>Term Stns - Holyrood</v>
      </c>
      <c r="F152" s="22">
        <v>396428.00027027016</v>
      </c>
      <c r="G152" s="22">
        <v>352186.63544010802</v>
      </c>
      <c r="H152" s="22">
        <v>44241.364830162151</v>
      </c>
      <c r="I152" s="22">
        <v>0</v>
      </c>
      <c r="J152" s="22">
        <v>0</v>
      </c>
      <c r="K152" s="22">
        <v>0</v>
      </c>
      <c r="L152" s="22">
        <v>0</v>
      </c>
      <c r="M152" s="22">
        <v>0</v>
      </c>
      <c r="N152" s="22">
        <v>0</v>
      </c>
      <c r="O152" s="22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X152" s="6"/>
      <c r="Y152" s="6"/>
      <c r="Z152" s="6"/>
      <c r="AA152" s="6"/>
      <c r="AB152" s="6"/>
      <c r="AC152" s="33"/>
      <c r="AD152" s="6"/>
      <c r="AE152" s="6"/>
      <c r="AF152" s="6"/>
      <c r="AG152" s="6"/>
      <c r="AH152" s="6"/>
      <c r="AI152" s="6"/>
    </row>
    <row r="153" spans="1:35" ht="16.5" x14ac:dyDescent="0.3">
      <c r="A153" s="32"/>
      <c r="B153" s="32"/>
      <c r="C153" s="26" t="s">
        <v>551</v>
      </c>
      <c r="D153" s="1">
        <f>MAX(D151:D152)+NoOne</f>
        <v>20</v>
      </c>
      <c r="E153" s="33" t="str">
        <f>+E35</f>
        <v>Term Stns - Gas Tur/Dsl</v>
      </c>
      <c r="F153" s="22">
        <f>SUM(G153:V153)</f>
        <v>9923.2100000000009</v>
      </c>
      <c r="G153" s="22">
        <v>9923.2100000000009</v>
      </c>
      <c r="H153" s="22">
        <v>0</v>
      </c>
      <c r="I153" s="22">
        <v>0</v>
      </c>
      <c r="J153" s="22">
        <v>0</v>
      </c>
      <c r="K153" s="22">
        <v>0</v>
      </c>
      <c r="L153" s="22">
        <v>0</v>
      </c>
      <c r="M153" s="22">
        <v>0</v>
      </c>
      <c r="N153" s="22">
        <v>0</v>
      </c>
      <c r="O153" s="22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X153" s="6"/>
      <c r="Y153" s="6"/>
      <c r="Z153" s="6"/>
      <c r="AA153" s="6"/>
      <c r="AB153" s="6"/>
      <c r="AC153" s="33"/>
      <c r="AD153" s="6"/>
      <c r="AE153" s="6"/>
      <c r="AF153" s="6"/>
      <c r="AG153" s="6"/>
      <c r="AH153" s="6"/>
      <c r="AI153" s="6"/>
    </row>
    <row r="154" spans="1:35" ht="16.5" x14ac:dyDescent="0.3">
      <c r="A154" s="32"/>
      <c r="B154" s="32"/>
      <c r="C154" s="26" t="s">
        <v>73</v>
      </c>
      <c r="D154" s="1">
        <f t="shared" si="27"/>
        <v>21</v>
      </c>
      <c r="E154" s="36" t="s">
        <v>74</v>
      </c>
      <c r="F154" s="22">
        <v>381353.42489252408</v>
      </c>
      <c r="G154" s="34">
        <v>0</v>
      </c>
      <c r="H154" s="34">
        <v>0</v>
      </c>
      <c r="I154" s="34">
        <v>0</v>
      </c>
      <c r="J154" s="34">
        <v>0</v>
      </c>
      <c r="K154" s="34">
        <f>F154</f>
        <v>381353.42489252408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X154" s="6"/>
      <c r="Y154" s="6"/>
      <c r="Z154" s="6"/>
      <c r="AA154" s="6"/>
      <c r="AB154" s="6"/>
      <c r="AC154" s="36"/>
      <c r="AD154" s="6"/>
      <c r="AE154" s="6"/>
      <c r="AF154" s="6"/>
      <c r="AG154" s="6"/>
      <c r="AH154" s="6"/>
      <c r="AI154" s="6"/>
    </row>
    <row r="155" spans="1:35" ht="16.5" x14ac:dyDescent="0.3">
      <c r="A155" s="28">
        <f>SUM(G155:V155)-F155</f>
        <v>0</v>
      </c>
      <c r="B155" s="28"/>
      <c r="C155" s="29"/>
      <c r="D155" s="1">
        <f t="shared" si="27"/>
        <v>22</v>
      </c>
      <c r="E155" s="39" t="s">
        <v>76</v>
      </c>
      <c r="F155" s="30">
        <f t="shared" ref="F155:V155" si="28">SUM(F150:F154)</f>
        <v>9467711.485558087</v>
      </c>
      <c r="G155" s="30">
        <f t="shared" si="28"/>
        <v>824899.98175914912</v>
      </c>
      <c r="H155" s="30">
        <f t="shared" si="28"/>
        <v>512380.31970372505</v>
      </c>
      <c r="I155" s="30">
        <f t="shared" si="28"/>
        <v>6810065.1129261181</v>
      </c>
      <c r="J155" s="30">
        <f t="shared" si="28"/>
        <v>568683.71618948143</v>
      </c>
      <c r="K155" s="30">
        <f t="shared" si="28"/>
        <v>381353.42489252408</v>
      </c>
      <c r="L155" s="30">
        <f t="shared" si="28"/>
        <v>0</v>
      </c>
      <c r="M155" s="30">
        <f t="shared" si="28"/>
        <v>0</v>
      </c>
      <c r="N155" s="30">
        <f t="shared" si="28"/>
        <v>0</v>
      </c>
      <c r="O155" s="30">
        <f t="shared" si="28"/>
        <v>0</v>
      </c>
      <c r="P155" s="30">
        <f t="shared" si="28"/>
        <v>0</v>
      </c>
      <c r="Q155" s="30">
        <f t="shared" si="28"/>
        <v>0</v>
      </c>
      <c r="R155" s="30">
        <f t="shared" si="28"/>
        <v>0</v>
      </c>
      <c r="S155" s="30">
        <f t="shared" si="28"/>
        <v>0</v>
      </c>
      <c r="T155" s="30">
        <f t="shared" si="28"/>
        <v>0</v>
      </c>
      <c r="U155" s="30">
        <f t="shared" si="28"/>
        <v>0</v>
      </c>
      <c r="V155" s="30">
        <f t="shared" si="28"/>
        <v>370328.93008708872</v>
      </c>
      <c r="X155" s="6"/>
      <c r="Y155" s="6"/>
      <c r="Z155" s="6"/>
      <c r="AA155" s="6"/>
      <c r="AB155" s="6"/>
      <c r="AC155" s="39"/>
      <c r="AD155" s="6"/>
      <c r="AE155" s="6"/>
      <c r="AF155" s="6"/>
      <c r="AG155" s="6"/>
      <c r="AH155" s="6"/>
      <c r="AI155" s="6"/>
    </row>
    <row r="156" spans="1:35" ht="19.5" customHeight="1" x14ac:dyDescent="0.3">
      <c r="A156" s="28">
        <f>SUM(G156:V156)-F156</f>
        <v>0</v>
      </c>
      <c r="B156" s="28"/>
      <c r="C156" s="29" t="s">
        <v>39</v>
      </c>
      <c r="D156" s="1">
        <f t="shared" si="27"/>
        <v>23</v>
      </c>
      <c r="E156" s="37" t="s">
        <v>77</v>
      </c>
      <c r="F156" s="30">
        <f t="shared" ref="F156:V156" si="29">SUM(F155,F149)</f>
        <v>20178936.43612735</v>
      </c>
      <c r="G156" s="30">
        <f t="shared" si="29"/>
        <v>1128175.5809654165</v>
      </c>
      <c r="H156" s="30">
        <f t="shared" si="29"/>
        <v>819161.10630458698</v>
      </c>
      <c r="I156" s="30">
        <f t="shared" si="29"/>
        <v>14956203.951402549</v>
      </c>
      <c r="J156" s="30">
        <f t="shared" si="29"/>
        <v>1980651.9349557627</v>
      </c>
      <c r="K156" s="30">
        <f t="shared" si="29"/>
        <v>381353.42489252408</v>
      </c>
      <c r="L156" s="30">
        <f t="shared" si="29"/>
        <v>0</v>
      </c>
      <c r="M156" s="30">
        <f t="shared" si="29"/>
        <v>0</v>
      </c>
      <c r="N156" s="30">
        <f t="shared" si="29"/>
        <v>0</v>
      </c>
      <c r="O156" s="30">
        <f t="shared" si="29"/>
        <v>0</v>
      </c>
      <c r="P156" s="30">
        <f t="shared" si="29"/>
        <v>0</v>
      </c>
      <c r="Q156" s="30">
        <f t="shared" si="29"/>
        <v>0</v>
      </c>
      <c r="R156" s="30">
        <f t="shared" si="29"/>
        <v>0</v>
      </c>
      <c r="S156" s="30">
        <f t="shared" si="29"/>
        <v>0</v>
      </c>
      <c r="T156" s="30">
        <f t="shared" si="29"/>
        <v>0</v>
      </c>
      <c r="U156" s="30">
        <f t="shared" si="29"/>
        <v>0</v>
      </c>
      <c r="V156" s="30">
        <f t="shared" si="29"/>
        <v>913390.43760650989</v>
      </c>
      <c r="X156" s="6"/>
      <c r="Y156" s="6"/>
      <c r="Z156" s="6"/>
      <c r="AA156" s="6"/>
      <c r="AB156" s="6"/>
      <c r="AC156" s="37"/>
      <c r="AD156" s="6"/>
      <c r="AE156" s="6"/>
      <c r="AF156" s="6"/>
      <c r="AG156" s="6"/>
      <c r="AH156" s="6"/>
      <c r="AI156" s="6"/>
    </row>
    <row r="157" spans="1:35" ht="16.5" customHeight="1" x14ac:dyDescent="0.3">
      <c r="A157" s="28"/>
      <c r="B157" s="28"/>
      <c r="C157" s="26"/>
      <c r="D157" s="1"/>
      <c r="E157" s="20" t="s">
        <v>9</v>
      </c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X157" s="6"/>
      <c r="Y157" s="6"/>
      <c r="Z157" s="6"/>
      <c r="AA157" s="6"/>
      <c r="AB157" s="6"/>
      <c r="AC157" s="20"/>
      <c r="AD157" s="6"/>
      <c r="AE157" s="6"/>
      <c r="AF157" s="6"/>
      <c r="AG157" s="6"/>
      <c r="AH157" s="6"/>
      <c r="AI157" s="6"/>
    </row>
    <row r="158" spans="1:35" ht="16.5" x14ac:dyDescent="0.3">
      <c r="A158" s="28"/>
      <c r="B158" s="28"/>
      <c r="C158" s="26" t="s">
        <v>552</v>
      </c>
      <c r="D158" s="1">
        <f t="shared" ref="D158:D173" si="30">MAX(D155:D157)+NoOne</f>
        <v>24</v>
      </c>
      <c r="E158" s="36" t="s">
        <v>18</v>
      </c>
      <c r="F158" s="22">
        <f>SUM(G158:V158)</f>
        <v>1291291.741229495</v>
      </c>
      <c r="G158" s="22">
        <v>0</v>
      </c>
      <c r="H158" s="22">
        <v>0</v>
      </c>
      <c r="I158" s="22">
        <v>0</v>
      </c>
      <c r="J158" s="22">
        <v>0</v>
      </c>
      <c r="K158" s="22">
        <v>1291291.741229495</v>
      </c>
      <c r="L158" s="22">
        <v>0</v>
      </c>
      <c r="M158" s="22">
        <v>0</v>
      </c>
      <c r="N158" s="22">
        <v>0</v>
      </c>
      <c r="O158" s="22">
        <v>0</v>
      </c>
      <c r="P158" s="22">
        <v>0</v>
      </c>
      <c r="Q158" s="22">
        <v>0</v>
      </c>
      <c r="R158" s="22">
        <v>0</v>
      </c>
      <c r="S158" s="22">
        <v>0</v>
      </c>
      <c r="T158" s="22">
        <v>0</v>
      </c>
      <c r="U158" s="22">
        <v>0</v>
      </c>
      <c r="V158" s="22">
        <v>0</v>
      </c>
      <c r="X158" s="6"/>
      <c r="Y158" s="6"/>
      <c r="Z158" s="6"/>
      <c r="AA158" s="6"/>
      <c r="AB158" s="6"/>
      <c r="AC158" s="36"/>
      <c r="AD158" s="6"/>
      <c r="AE158" s="6"/>
      <c r="AF158" s="6"/>
      <c r="AG158" s="6"/>
      <c r="AH158" s="6"/>
      <c r="AI158" s="6"/>
    </row>
    <row r="159" spans="1:35" ht="16.5" x14ac:dyDescent="0.3">
      <c r="A159" s="28"/>
      <c r="B159" s="28"/>
      <c r="C159" s="26" t="s">
        <v>79</v>
      </c>
      <c r="D159" s="1">
        <f t="shared" si="30"/>
        <v>25</v>
      </c>
      <c r="E159" s="36" t="s">
        <v>80</v>
      </c>
      <c r="F159" s="22">
        <v>43713.489999999983</v>
      </c>
      <c r="G159" s="22">
        <v>0</v>
      </c>
      <c r="H159" s="22">
        <v>0</v>
      </c>
      <c r="I159" s="22">
        <v>0</v>
      </c>
      <c r="J159" s="22">
        <v>0</v>
      </c>
      <c r="K159" s="22">
        <v>0</v>
      </c>
      <c r="L159" s="22">
        <v>32957.785785499989</v>
      </c>
      <c r="M159" s="22">
        <v>4198.6807144999984</v>
      </c>
      <c r="N159" s="22">
        <v>0</v>
      </c>
      <c r="O159" s="22">
        <v>0</v>
      </c>
      <c r="P159" s="22">
        <v>3822.7447004999981</v>
      </c>
      <c r="Q159" s="22">
        <v>2734.2787994999985</v>
      </c>
      <c r="R159" s="22">
        <v>0</v>
      </c>
      <c r="S159" s="22">
        <v>0</v>
      </c>
      <c r="T159" s="22">
        <v>0</v>
      </c>
      <c r="U159" s="22">
        <v>0</v>
      </c>
      <c r="V159" s="22">
        <v>0</v>
      </c>
      <c r="X159" s="6"/>
      <c r="Y159" s="6"/>
      <c r="Z159" s="6"/>
      <c r="AA159" s="6"/>
      <c r="AB159" s="6"/>
      <c r="AC159" s="36"/>
      <c r="AD159" s="6"/>
      <c r="AE159" s="6"/>
      <c r="AF159" s="6"/>
      <c r="AG159" s="6"/>
      <c r="AH159" s="6"/>
      <c r="AI159" s="6"/>
    </row>
    <row r="160" spans="1:35" ht="16.5" x14ac:dyDescent="0.3">
      <c r="A160" s="28"/>
      <c r="B160" s="28"/>
      <c r="C160" s="26" t="s">
        <v>79</v>
      </c>
      <c r="D160" s="1">
        <f t="shared" si="30"/>
        <v>26</v>
      </c>
      <c r="E160" s="36" t="s">
        <v>81</v>
      </c>
      <c r="F160" s="22">
        <v>4179458.0823136736</v>
      </c>
      <c r="G160" s="22">
        <v>0</v>
      </c>
      <c r="H160" s="22">
        <v>0</v>
      </c>
      <c r="I160" s="22">
        <v>0</v>
      </c>
      <c r="J160" s="22">
        <v>0</v>
      </c>
      <c r="K160" s="22">
        <v>0</v>
      </c>
      <c r="L160" s="22">
        <v>2417181.2229899485</v>
      </c>
      <c r="M160" s="22">
        <v>826078.24888546229</v>
      </c>
      <c r="N160" s="22">
        <v>0</v>
      </c>
      <c r="O160" s="22">
        <v>0</v>
      </c>
      <c r="P160" s="22">
        <v>427842.76497028611</v>
      </c>
      <c r="Q160" s="22">
        <v>508355.84546797682</v>
      </c>
      <c r="R160" s="22">
        <v>0</v>
      </c>
      <c r="S160" s="22">
        <v>0</v>
      </c>
      <c r="T160" s="22">
        <v>0</v>
      </c>
      <c r="U160" s="22">
        <v>0</v>
      </c>
      <c r="V160" s="22">
        <v>0</v>
      </c>
      <c r="X160" s="6"/>
      <c r="Y160" s="6"/>
      <c r="Z160" s="6"/>
      <c r="AA160" s="6"/>
      <c r="AB160" s="6"/>
      <c r="AC160" s="36"/>
      <c r="AD160" s="6"/>
      <c r="AE160" s="6"/>
      <c r="AF160" s="6"/>
      <c r="AG160" s="6"/>
      <c r="AH160" s="6"/>
      <c r="AI160" s="6"/>
    </row>
    <row r="161" spans="1:35" ht="16.5" x14ac:dyDescent="0.3">
      <c r="A161" s="28"/>
      <c r="B161" s="28"/>
      <c r="C161" s="26" t="s">
        <v>79</v>
      </c>
      <c r="D161" s="1">
        <f t="shared" si="30"/>
        <v>27</v>
      </c>
      <c r="E161" s="36" t="s">
        <v>82</v>
      </c>
      <c r="F161" s="22">
        <v>547958.66884320532</v>
      </c>
      <c r="G161" s="22">
        <v>0</v>
      </c>
      <c r="H161" s="22">
        <v>0</v>
      </c>
      <c r="I161" s="22">
        <v>0</v>
      </c>
      <c r="J161" s="22">
        <v>0</v>
      </c>
      <c r="K161" s="22">
        <v>0</v>
      </c>
      <c r="L161" s="22">
        <v>486039.33926392312</v>
      </c>
      <c r="M161" s="22">
        <v>61919.329579282203</v>
      </c>
      <c r="N161" s="22">
        <v>0</v>
      </c>
      <c r="O161" s="22">
        <v>0</v>
      </c>
      <c r="P161" s="22">
        <v>0</v>
      </c>
      <c r="Q161" s="22">
        <v>0</v>
      </c>
      <c r="R161" s="22">
        <v>0</v>
      </c>
      <c r="S161" s="22">
        <v>0</v>
      </c>
      <c r="T161" s="22">
        <v>0</v>
      </c>
      <c r="U161" s="22">
        <v>0</v>
      </c>
      <c r="V161" s="22">
        <v>0</v>
      </c>
      <c r="X161" s="6"/>
      <c r="Y161" s="6"/>
      <c r="Z161" s="6"/>
      <c r="AA161" s="6"/>
      <c r="AB161" s="6"/>
      <c r="AC161" s="36"/>
      <c r="AD161" s="6"/>
      <c r="AE161" s="6"/>
      <c r="AF161" s="6"/>
      <c r="AG161" s="6"/>
      <c r="AH161" s="6"/>
      <c r="AI161" s="6"/>
    </row>
    <row r="162" spans="1:35" ht="16.5" x14ac:dyDescent="0.3">
      <c r="A162" s="28"/>
      <c r="B162" s="28"/>
      <c r="C162" s="24" t="s">
        <v>83</v>
      </c>
      <c r="D162" s="1">
        <f t="shared" si="30"/>
        <v>28</v>
      </c>
      <c r="E162" s="36" t="s">
        <v>84</v>
      </c>
      <c r="F162" s="22">
        <v>178059.90999999997</v>
      </c>
      <c r="G162" s="22">
        <v>0</v>
      </c>
      <c r="H162" s="22">
        <v>0</v>
      </c>
      <c r="I162" s="22">
        <v>0</v>
      </c>
      <c r="J162" s="22">
        <v>0</v>
      </c>
      <c r="K162" s="22">
        <v>0</v>
      </c>
      <c r="L162" s="22">
        <v>178059.90999999997</v>
      </c>
      <c r="M162" s="22">
        <v>0</v>
      </c>
      <c r="N162" s="22">
        <v>0</v>
      </c>
      <c r="O162" s="22">
        <v>0</v>
      </c>
      <c r="P162" s="22">
        <v>0</v>
      </c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X162" s="6"/>
      <c r="Y162" s="6"/>
      <c r="Z162" s="6"/>
      <c r="AA162" s="6"/>
      <c r="AB162" s="6"/>
      <c r="AC162" s="36"/>
      <c r="AD162" s="6"/>
      <c r="AE162" s="6"/>
      <c r="AF162" s="6"/>
      <c r="AG162" s="6"/>
      <c r="AH162" s="6"/>
      <c r="AI162" s="6"/>
    </row>
    <row r="163" spans="1:35" ht="16.5" x14ac:dyDescent="0.3">
      <c r="A163" s="28"/>
      <c r="B163" s="28"/>
      <c r="C163" s="26" t="s">
        <v>79</v>
      </c>
      <c r="D163" s="1">
        <f t="shared" si="30"/>
        <v>29</v>
      </c>
      <c r="E163" s="36" t="s">
        <v>85</v>
      </c>
      <c r="F163" s="22">
        <v>761905.02048909233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  <c r="M163" s="22">
        <v>0</v>
      </c>
      <c r="N163" s="22">
        <v>275047.71239656233</v>
      </c>
      <c r="O163" s="22">
        <v>486857.30809253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X163" s="6"/>
      <c r="Y163" s="6"/>
      <c r="Z163" s="6"/>
      <c r="AA163" s="6"/>
      <c r="AB163" s="6"/>
      <c r="AC163" s="1"/>
      <c r="AD163" s="6"/>
      <c r="AE163" s="6"/>
      <c r="AF163" s="6"/>
      <c r="AG163" s="6"/>
      <c r="AH163" s="6"/>
      <c r="AI163" s="6"/>
    </row>
    <row r="164" spans="1:35" ht="16.5" x14ac:dyDescent="0.3">
      <c r="A164" s="28"/>
      <c r="B164" s="28"/>
      <c r="C164" s="26" t="s">
        <v>79</v>
      </c>
      <c r="D164" s="1">
        <f t="shared" si="30"/>
        <v>30</v>
      </c>
      <c r="E164" s="36" t="s">
        <v>86</v>
      </c>
      <c r="F164" s="22">
        <v>42304.980936505213</v>
      </c>
      <c r="G164" s="34">
        <v>0</v>
      </c>
      <c r="H164" s="34">
        <v>0</v>
      </c>
      <c r="I164" s="22">
        <v>0</v>
      </c>
      <c r="J164" s="34">
        <v>0</v>
      </c>
      <c r="K164" s="34">
        <v>0</v>
      </c>
      <c r="L164" s="34">
        <v>0</v>
      </c>
      <c r="M164" s="34">
        <v>0</v>
      </c>
      <c r="N164" s="34">
        <v>0</v>
      </c>
      <c r="O164" s="34">
        <v>0</v>
      </c>
      <c r="P164" s="34">
        <v>24663.803885982539</v>
      </c>
      <c r="Q164" s="34">
        <v>17641.177050522674</v>
      </c>
      <c r="R164" s="34">
        <v>0</v>
      </c>
      <c r="S164" s="34">
        <v>0</v>
      </c>
      <c r="T164" s="34">
        <v>0</v>
      </c>
      <c r="U164" s="34">
        <v>0</v>
      </c>
      <c r="V164" s="34">
        <v>0</v>
      </c>
      <c r="X164" s="6"/>
      <c r="Y164" s="6"/>
      <c r="Z164" s="6"/>
      <c r="AA164" s="6"/>
      <c r="AB164" s="6"/>
      <c r="AC164" s="36"/>
      <c r="AD164" s="6"/>
      <c r="AE164" s="6"/>
      <c r="AF164" s="6"/>
      <c r="AG164" s="6"/>
      <c r="AH164" s="6"/>
      <c r="AI164" s="6"/>
    </row>
    <row r="165" spans="1:35" ht="16.5" x14ac:dyDescent="0.3">
      <c r="A165" s="28"/>
      <c r="B165" s="28"/>
      <c r="C165" s="26" t="s">
        <v>79</v>
      </c>
      <c r="D165" s="1">
        <f t="shared" si="30"/>
        <v>31</v>
      </c>
      <c r="E165" s="36" t="s">
        <v>22</v>
      </c>
      <c r="F165" s="22">
        <v>116961.61222139769</v>
      </c>
      <c r="G165" s="34">
        <v>0</v>
      </c>
      <c r="H165" s="34">
        <v>0</v>
      </c>
      <c r="I165" s="22">
        <v>0</v>
      </c>
      <c r="J165" s="34">
        <v>0</v>
      </c>
      <c r="K165" s="34">
        <v>0</v>
      </c>
      <c r="L165" s="34">
        <v>0</v>
      </c>
      <c r="M165" s="34">
        <v>0</v>
      </c>
      <c r="N165" s="34">
        <v>0</v>
      </c>
      <c r="O165" s="34">
        <v>0</v>
      </c>
      <c r="P165" s="34">
        <v>0</v>
      </c>
      <c r="Q165" s="34">
        <v>0</v>
      </c>
      <c r="R165" s="34">
        <v>116961.61222139769</v>
      </c>
      <c r="S165" s="34">
        <v>0</v>
      </c>
      <c r="T165" s="34">
        <v>0</v>
      </c>
      <c r="U165" s="34">
        <v>0</v>
      </c>
      <c r="V165" s="34">
        <v>0</v>
      </c>
      <c r="X165" s="6"/>
      <c r="Y165" s="6"/>
      <c r="Z165" s="6"/>
      <c r="AA165" s="6"/>
      <c r="AB165" s="6"/>
      <c r="AC165" s="36"/>
      <c r="AD165" s="6"/>
      <c r="AE165" s="6"/>
      <c r="AF165" s="6"/>
      <c r="AG165" s="6"/>
      <c r="AH165" s="6"/>
      <c r="AI165" s="6"/>
    </row>
    <row r="166" spans="1:35" ht="16.5" x14ac:dyDescent="0.3">
      <c r="A166" s="28"/>
      <c r="B166" s="28"/>
      <c r="C166" s="26" t="s">
        <v>534</v>
      </c>
      <c r="D166" s="1">
        <f t="shared" si="30"/>
        <v>32</v>
      </c>
      <c r="E166" s="36" t="s">
        <v>23</v>
      </c>
      <c r="F166" s="22">
        <v>516551.02651407826</v>
      </c>
      <c r="G166" s="34">
        <v>0</v>
      </c>
      <c r="H166" s="34">
        <v>0</v>
      </c>
      <c r="I166" s="22">
        <v>0</v>
      </c>
      <c r="J166" s="34">
        <v>0</v>
      </c>
      <c r="K166" s="34">
        <v>0</v>
      </c>
      <c r="L166" s="34">
        <v>0</v>
      </c>
      <c r="M166" s="34">
        <v>0</v>
      </c>
      <c r="N166" s="34">
        <v>0</v>
      </c>
      <c r="O166" s="34">
        <v>0</v>
      </c>
      <c r="P166" s="34">
        <v>0</v>
      </c>
      <c r="Q166" s="34">
        <v>0</v>
      </c>
      <c r="R166" s="34">
        <v>0</v>
      </c>
      <c r="S166" s="34">
        <v>516551.02651407826</v>
      </c>
      <c r="T166" s="34">
        <v>0</v>
      </c>
      <c r="U166" s="34">
        <v>0</v>
      </c>
      <c r="V166" s="34">
        <v>0</v>
      </c>
      <c r="X166" s="6"/>
      <c r="Y166" s="6"/>
      <c r="Z166" s="6"/>
      <c r="AA166" s="6"/>
      <c r="AB166" s="6"/>
      <c r="AC166" s="36"/>
      <c r="AD166" s="6"/>
      <c r="AE166" s="6"/>
      <c r="AF166" s="6"/>
      <c r="AG166" s="6"/>
      <c r="AH166" s="6"/>
      <c r="AI166" s="6"/>
    </row>
    <row r="167" spans="1:35" ht="16.5" x14ac:dyDescent="0.3">
      <c r="A167" s="28"/>
      <c r="B167" s="28"/>
      <c r="C167" s="26" t="s">
        <v>79</v>
      </c>
      <c r="D167" s="1">
        <f t="shared" si="30"/>
        <v>33</v>
      </c>
      <c r="E167" s="36" t="s">
        <v>24</v>
      </c>
      <c r="F167" s="34">
        <v>207811.1467227762</v>
      </c>
      <c r="G167" s="34">
        <v>0</v>
      </c>
      <c r="H167" s="34">
        <v>0</v>
      </c>
      <c r="I167" s="22">
        <v>0</v>
      </c>
      <c r="J167" s="34">
        <v>0</v>
      </c>
      <c r="K167" s="34">
        <v>0</v>
      </c>
      <c r="L167" s="34">
        <v>0</v>
      </c>
      <c r="M167" s="34">
        <v>0</v>
      </c>
      <c r="N167" s="34">
        <v>0</v>
      </c>
      <c r="O167" s="34">
        <v>0</v>
      </c>
      <c r="P167" s="34">
        <v>0</v>
      </c>
      <c r="Q167" s="34">
        <v>0</v>
      </c>
      <c r="R167" s="34">
        <v>0</v>
      </c>
      <c r="S167" s="34">
        <v>0</v>
      </c>
      <c r="T167" s="34">
        <v>207811.1467227762</v>
      </c>
      <c r="U167" s="34">
        <v>0</v>
      </c>
      <c r="V167" s="34">
        <v>0</v>
      </c>
      <c r="X167" s="6"/>
      <c r="Y167" s="6"/>
      <c r="Z167" s="6"/>
      <c r="AA167" s="6"/>
      <c r="AB167" s="6"/>
      <c r="AC167" s="36"/>
      <c r="AD167" s="6"/>
      <c r="AE167" s="6"/>
      <c r="AF167" s="6"/>
      <c r="AG167" s="6"/>
      <c r="AH167" s="6"/>
      <c r="AI167" s="6"/>
    </row>
    <row r="168" spans="1:35" ht="16.5" x14ac:dyDescent="0.3">
      <c r="A168" s="28">
        <f>SUM(G168:V168)-F168</f>
        <v>0</v>
      </c>
      <c r="B168" s="28"/>
      <c r="C168" s="29" t="s">
        <v>39</v>
      </c>
      <c r="D168" s="1">
        <f t="shared" si="30"/>
        <v>34</v>
      </c>
      <c r="E168" s="20" t="s">
        <v>90</v>
      </c>
      <c r="F168" s="30">
        <f>SUM(F158:F167)</f>
        <v>7886015.6792702228</v>
      </c>
      <c r="G168" s="30">
        <f>SUM(G158:G167)</f>
        <v>0</v>
      </c>
      <c r="H168" s="30">
        <f>SUM(H158:H167)</f>
        <v>0</v>
      </c>
      <c r="I168" s="30">
        <f>SUM(I158:I167)</f>
        <v>0</v>
      </c>
      <c r="J168" s="30">
        <f t="shared" ref="J168:V168" si="31">SUM(J158:J167)</f>
        <v>0</v>
      </c>
      <c r="K168" s="30">
        <f t="shared" si="31"/>
        <v>1291291.741229495</v>
      </c>
      <c r="L168" s="30">
        <f t="shared" si="31"/>
        <v>3114238.2580393716</v>
      </c>
      <c r="M168" s="30">
        <f t="shared" si="31"/>
        <v>892196.25917924452</v>
      </c>
      <c r="N168" s="30">
        <f t="shared" si="31"/>
        <v>275047.71239656233</v>
      </c>
      <c r="O168" s="30">
        <f t="shared" si="31"/>
        <v>486857.30809253</v>
      </c>
      <c r="P168" s="30">
        <f t="shared" si="31"/>
        <v>456329.31355676864</v>
      </c>
      <c r="Q168" s="30">
        <f t="shared" si="31"/>
        <v>528731.30131799949</v>
      </c>
      <c r="R168" s="30">
        <f t="shared" si="31"/>
        <v>116961.61222139769</v>
      </c>
      <c r="S168" s="30">
        <f t="shared" si="31"/>
        <v>516551.02651407826</v>
      </c>
      <c r="T168" s="30">
        <f t="shared" si="31"/>
        <v>207811.1467227762</v>
      </c>
      <c r="U168" s="30">
        <f t="shared" si="31"/>
        <v>0</v>
      </c>
      <c r="V168" s="30">
        <f t="shared" si="31"/>
        <v>0</v>
      </c>
      <c r="X168" s="6"/>
      <c r="Y168" s="6"/>
      <c r="Z168" s="6"/>
      <c r="AA168" s="6"/>
      <c r="AB168" s="6"/>
      <c r="AC168" s="20"/>
      <c r="AD168" s="6"/>
      <c r="AE168" s="6"/>
      <c r="AF168" s="6"/>
      <c r="AG168" s="6"/>
      <c r="AH168" s="6"/>
      <c r="AI168" s="6"/>
    </row>
    <row r="169" spans="1:35" ht="16.5" x14ac:dyDescent="0.3">
      <c r="A169" s="28">
        <f>SUM(G169:V169)-F169</f>
        <v>0</v>
      </c>
      <c r="B169" s="28"/>
      <c r="C169" s="29" t="s">
        <v>39</v>
      </c>
      <c r="D169" s="1">
        <f t="shared" si="30"/>
        <v>35</v>
      </c>
      <c r="E169" s="39" t="s">
        <v>91</v>
      </c>
      <c r="F169" s="30">
        <f t="shared" ref="F169:V169" si="32">SUM(F168,F156,F147)</f>
        <v>85508469.917381257</v>
      </c>
      <c r="G169" s="30">
        <f t="shared" si="32"/>
        <v>45084280.69540257</v>
      </c>
      <c r="H169" s="30">
        <f t="shared" si="32"/>
        <v>14306573.7938511</v>
      </c>
      <c r="I169" s="30">
        <f t="shared" si="32"/>
        <v>14956203.951402549</v>
      </c>
      <c r="J169" s="30">
        <f t="shared" si="32"/>
        <v>1980651.9349557627</v>
      </c>
      <c r="K169" s="30">
        <f t="shared" si="32"/>
        <v>1672645.1661220191</v>
      </c>
      <c r="L169" s="30">
        <f t="shared" si="32"/>
        <v>3114238.2580393716</v>
      </c>
      <c r="M169" s="30">
        <f t="shared" si="32"/>
        <v>892196.25917924452</v>
      </c>
      <c r="N169" s="30">
        <f t="shared" si="32"/>
        <v>275047.71239656233</v>
      </c>
      <c r="O169" s="30">
        <f t="shared" si="32"/>
        <v>486857.30809253</v>
      </c>
      <c r="P169" s="30">
        <f t="shared" si="32"/>
        <v>456329.31355676864</v>
      </c>
      <c r="Q169" s="30">
        <f t="shared" si="32"/>
        <v>528731.30131799949</v>
      </c>
      <c r="R169" s="30">
        <f t="shared" si="32"/>
        <v>116961.61222139769</v>
      </c>
      <c r="S169" s="30">
        <f t="shared" si="32"/>
        <v>516551.02651407826</v>
      </c>
      <c r="T169" s="30">
        <f t="shared" si="32"/>
        <v>207811.1467227762</v>
      </c>
      <c r="U169" s="30">
        <f t="shared" si="32"/>
        <v>0</v>
      </c>
      <c r="V169" s="30">
        <f t="shared" si="32"/>
        <v>913390.43760650989</v>
      </c>
      <c r="X169" s="6"/>
      <c r="Y169" s="6"/>
      <c r="Z169" s="6"/>
      <c r="AA169" s="6"/>
      <c r="AB169" s="6"/>
      <c r="AC169" s="39"/>
      <c r="AD169" s="6"/>
      <c r="AE169" s="6"/>
      <c r="AF169" s="6"/>
      <c r="AG169" s="6"/>
      <c r="AH169" s="6"/>
      <c r="AI169" s="6"/>
    </row>
    <row r="170" spans="1:35" ht="16.5" x14ac:dyDescent="0.3">
      <c r="A170" s="19"/>
      <c r="B170" s="26" t="str">
        <f>IF(OverheadAlloc="Expenses","E-GTDC","L-GTDC")</f>
        <v>E-GTDC</v>
      </c>
      <c r="C170" s="26" t="s">
        <v>535</v>
      </c>
      <c r="D170" s="1">
        <f t="shared" si="30"/>
        <v>36</v>
      </c>
      <c r="E170" s="6" t="s">
        <v>92</v>
      </c>
      <c r="F170" s="22">
        <v>11618932.125502631</v>
      </c>
      <c r="G170" s="22">
        <f t="shared" ref="G170:V170" si="33">$F170*VLOOKUP($B170,RatiosIslInt,G$561,FALSE)</f>
        <v>5450287.9900378725</v>
      </c>
      <c r="H170" s="22">
        <f t="shared" si="33"/>
        <v>1925616.4258488961</v>
      </c>
      <c r="I170" s="22">
        <f t="shared" si="33"/>
        <v>2369889.3042714787</v>
      </c>
      <c r="J170" s="22">
        <f t="shared" si="33"/>
        <v>329278.36967503082</v>
      </c>
      <c r="K170" s="22">
        <f t="shared" si="33"/>
        <v>221506.66757462858</v>
      </c>
      <c r="L170" s="22">
        <f t="shared" si="33"/>
        <v>417759.3770375743</v>
      </c>
      <c r="M170" s="22">
        <f t="shared" si="33"/>
        <v>113971.79384760394</v>
      </c>
      <c r="N170" s="22">
        <f t="shared" si="33"/>
        <v>34836.255839837497</v>
      </c>
      <c r="O170" s="22">
        <f t="shared" si="33"/>
        <v>61663.06781622205</v>
      </c>
      <c r="P170" s="22">
        <f t="shared" si="33"/>
        <v>60356.32802814521</v>
      </c>
      <c r="Q170" s="22">
        <f t="shared" si="33"/>
        <v>68494.473119085422</v>
      </c>
      <c r="R170" s="22">
        <f t="shared" si="33"/>
        <v>20114.477140927091</v>
      </c>
      <c r="S170" s="22">
        <f t="shared" si="33"/>
        <v>61615.4884556006</v>
      </c>
      <c r="T170" s="22">
        <f t="shared" si="33"/>
        <v>17163.150454738377</v>
      </c>
      <c r="U170" s="22">
        <f t="shared" si="33"/>
        <v>375104.71690050705</v>
      </c>
      <c r="V170" s="22">
        <f t="shared" si="33"/>
        <v>91274.239454483919</v>
      </c>
      <c r="X170" s="6"/>
      <c r="Y170" s="23" t="s">
        <v>39</v>
      </c>
      <c r="Z170" s="6"/>
      <c r="AA170" s="6"/>
      <c r="AB170" s="6"/>
      <c r="AC170" s="6"/>
      <c r="AD170" s="6"/>
      <c r="AE170" s="6"/>
      <c r="AF170" s="6"/>
      <c r="AG170" s="6"/>
      <c r="AH170" s="6"/>
      <c r="AI170" s="6"/>
    </row>
    <row r="171" spans="1:35" ht="16.5" x14ac:dyDescent="0.3">
      <c r="A171" s="28"/>
      <c r="B171" s="28"/>
      <c r="C171" s="26" t="s">
        <v>93</v>
      </c>
      <c r="D171" s="1">
        <f t="shared" si="30"/>
        <v>37</v>
      </c>
      <c r="E171" s="6" t="s">
        <v>94</v>
      </c>
      <c r="F171" s="22">
        <v>10962.52</v>
      </c>
      <c r="G171" s="22">
        <f t="shared" ref="G171:V171" si="34">$F171*(G$169/SUM($G$169:$V$169))</f>
        <v>5779.9809689788544</v>
      </c>
      <c r="H171" s="22">
        <f t="shared" si="34"/>
        <v>1834.1586687038655</v>
      </c>
      <c r="I171" s="22">
        <f t="shared" si="34"/>
        <v>1917.4437935767794</v>
      </c>
      <c r="J171" s="22">
        <f t="shared" si="34"/>
        <v>253.92731820567482</v>
      </c>
      <c r="K171" s="22">
        <f t="shared" si="34"/>
        <v>214.43964678858936</v>
      </c>
      <c r="L171" s="22">
        <f t="shared" si="34"/>
        <v>399.25751474102998</v>
      </c>
      <c r="M171" s="22">
        <f t="shared" si="34"/>
        <v>114.38304702011197</v>
      </c>
      <c r="N171" s="22">
        <f t="shared" si="34"/>
        <v>35.262191581896857</v>
      </c>
      <c r="O171" s="22">
        <f t="shared" si="34"/>
        <v>62.417009475989175</v>
      </c>
      <c r="P171" s="22">
        <f t="shared" si="34"/>
        <v>58.503201276853716</v>
      </c>
      <c r="Q171" s="22">
        <f t="shared" si="34"/>
        <v>67.785419045913713</v>
      </c>
      <c r="R171" s="22">
        <f t="shared" si="34"/>
        <v>14.994935758389541</v>
      </c>
      <c r="S171" s="22">
        <f t="shared" si="34"/>
        <v>66.223860217033987</v>
      </c>
      <c r="T171" s="22">
        <f t="shared" si="34"/>
        <v>26.642201110281981</v>
      </c>
      <c r="U171" s="22">
        <f t="shared" si="34"/>
        <v>0</v>
      </c>
      <c r="V171" s="22">
        <f t="shared" si="34"/>
        <v>117.10022351873199</v>
      </c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</row>
    <row r="172" spans="1:35" ht="16.5" x14ac:dyDescent="0.3">
      <c r="A172" s="28"/>
      <c r="B172" s="28"/>
      <c r="C172" s="26" t="s">
        <v>553</v>
      </c>
      <c r="D172" s="1">
        <f t="shared" si="30"/>
        <v>38</v>
      </c>
      <c r="E172" s="6" t="s">
        <v>95</v>
      </c>
      <c r="F172" s="22">
        <f>SUM(G172:V172)</f>
        <v>0</v>
      </c>
      <c r="G172" s="34">
        <v>0</v>
      </c>
      <c r="H172" s="34">
        <v>0</v>
      </c>
      <c r="I172" s="34">
        <v>0</v>
      </c>
      <c r="J172" s="34">
        <v>0</v>
      </c>
      <c r="K172" s="34">
        <v>0</v>
      </c>
      <c r="L172" s="34">
        <v>0</v>
      </c>
      <c r="M172" s="34">
        <v>0</v>
      </c>
      <c r="N172" s="34">
        <v>0</v>
      </c>
      <c r="O172" s="34">
        <v>0</v>
      </c>
      <c r="P172" s="34">
        <v>0</v>
      </c>
      <c r="Q172" s="34">
        <v>0</v>
      </c>
      <c r="R172" s="34">
        <v>0</v>
      </c>
      <c r="S172" s="34">
        <v>0</v>
      </c>
      <c r="T172" s="34">
        <v>0</v>
      </c>
      <c r="U172" s="22">
        <v>0</v>
      </c>
      <c r="V172" s="22">
        <v>0</v>
      </c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</row>
    <row r="173" spans="1:35" ht="16.5" x14ac:dyDescent="0.3">
      <c r="A173" s="28"/>
      <c r="B173" s="28"/>
      <c r="C173" s="26" t="s">
        <v>554</v>
      </c>
      <c r="D173" s="1">
        <f t="shared" si="30"/>
        <v>39</v>
      </c>
      <c r="E173" s="6" t="s">
        <v>97</v>
      </c>
      <c r="F173" s="22">
        <f>SUM(G173:V173)</f>
        <v>0</v>
      </c>
      <c r="G173" s="22">
        <v>0</v>
      </c>
      <c r="H173" s="22">
        <v>0</v>
      </c>
      <c r="I173" s="22">
        <v>0</v>
      </c>
      <c r="J173" s="23">
        <v>0</v>
      </c>
      <c r="K173" s="23">
        <v>0</v>
      </c>
      <c r="L173" s="23">
        <v>0</v>
      </c>
      <c r="M173" s="23">
        <v>0</v>
      </c>
      <c r="N173" s="23">
        <v>0</v>
      </c>
      <c r="O173" s="23">
        <v>0</v>
      </c>
      <c r="P173" s="23">
        <v>0</v>
      </c>
      <c r="Q173" s="23">
        <v>0</v>
      </c>
      <c r="R173" s="23">
        <v>0</v>
      </c>
      <c r="S173" s="23">
        <v>0</v>
      </c>
      <c r="T173" s="23">
        <v>0</v>
      </c>
      <c r="U173" s="23">
        <v>0</v>
      </c>
      <c r="V173" s="23">
        <v>0</v>
      </c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</row>
    <row r="174" spans="1:35" ht="16.5" x14ac:dyDescent="0.3">
      <c r="A174" s="28"/>
      <c r="B174" s="28"/>
      <c r="C174" s="26"/>
      <c r="D174" s="1">
        <f>MAX(D170:D173)+NoOne</f>
        <v>40</v>
      </c>
      <c r="E174" s="6" t="s">
        <v>114</v>
      </c>
      <c r="F174" s="22">
        <v>383174.48364955717</v>
      </c>
      <c r="G174" s="22">
        <f t="shared" ref="G174:V175" si="35">$F174*(G$169/SUM($G$169:$V$169))</f>
        <v>202028.47732936766</v>
      </c>
      <c r="H174" s="22">
        <f t="shared" si="35"/>
        <v>64109.602610710201</v>
      </c>
      <c r="I174" s="22">
        <f t="shared" si="35"/>
        <v>67020.679144104681</v>
      </c>
      <c r="J174" s="22">
        <f t="shared" si="35"/>
        <v>8875.5568097459563</v>
      </c>
      <c r="K174" s="22">
        <f t="shared" si="35"/>
        <v>7495.3387480443498</v>
      </c>
      <c r="L174" s="22">
        <f t="shared" si="35"/>
        <v>13955.30334759705</v>
      </c>
      <c r="M174" s="22">
        <f t="shared" si="35"/>
        <v>3998.0465239921496</v>
      </c>
      <c r="N174" s="22">
        <f t="shared" si="35"/>
        <v>1232.5242783361025</v>
      </c>
      <c r="O174" s="22">
        <f t="shared" si="35"/>
        <v>2181.670398495206</v>
      </c>
      <c r="P174" s="22">
        <f t="shared" si="35"/>
        <v>2044.8705170986721</v>
      </c>
      <c r="Q174" s="22">
        <f t="shared" si="35"/>
        <v>2369.3131635688546</v>
      </c>
      <c r="R174" s="22">
        <f t="shared" si="35"/>
        <v>524.12007153274908</v>
      </c>
      <c r="S174" s="22">
        <f t="shared" si="35"/>
        <v>2314.7317810086047</v>
      </c>
      <c r="T174" s="22">
        <f t="shared" si="35"/>
        <v>931.2285545403754</v>
      </c>
      <c r="U174" s="22">
        <f t="shared" si="35"/>
        <v>0</v>
      </c>
      <c r="V174" s="22">
        <f t="shared" si="35"/>
        <v>4093.0203714144063</v>
      </c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</row>
    <row r="175" spans="1:35" ht="16.5" x14ac:dyDescent="0.3">
      <c r="A175" s="28"/>
      <c r="B175" s="28"/>
      <c r="C175" s="26" t="s">
        <v>536</v>
      </c>
      <c r="D175" s="1">
        <f>MAX(D173:D174)+NoOne</f>
        <v>41</v>
      </c>
      <c r="E175" s="6" t="s">
        <v>101</v>
      </c>
      <c r="F175" s="22">
        <v>2990595.5781233213</v>
      </c>
      <c r="G175" s="22">
        <f t="shared" si="35"/>
        <v>1576789.417712817</v>
      </c>
      <c r="H175" s="22">
        <f t="shared" si="35"/>
        <v>500361.851490564</v>
      </c>
      <c r="I175" s="22">
        <f t="shared" si="35"/>
        <v>523082.18642891623</v>
      </c>
      <c r="J175" s="22">
        <f t="shared" si="35"/>
        <v>69271.838499779667</v>
      </c>
      <c r="K175" s="22">
        <f t="shared" si="35"/>
        <v>58499.52925607271</v>
      </c>
      <c r="L175" s="22">
        <f t="shared" si="35"/>
        <v>108918.18287373989</v>
      </c>
      <c r="M175" s="22">
        <f t="shared" si="35"/>
        <v>31203.905181529317</v>
      </c>
      <c r="N175" s="22">
        <f t="shared" si="35"/>
        <v>9619.5905886382097</v>
      </c>
      <c r="O175" s="22">
        <f t="shared" si="35"/>
        <v>17027.474753849907</v>
      </c>
      <c r="P175" s="22">
        <f t="shared" si="35"/>
        <v>15959.780693181619</v>
      </c>
      <c r="Q175" s="22">
        <f t="shared" si="35"/>
        <v>18491.986738445714</v>
      </c>
      <c r="R175" s="22">
        <f t="shared" si="35"/>
        <v>4090.6459986648169</v>
      </c>
      <c r="S175" s="22">
        <f t="shared" si="35"/>
        <v>18065.990623626574</v>
      </c>
      <c r="T175" s="22">
        <f t="shared" si="35"/>
        <v>7268.0413656605897</v>
      </c>
      <c r="U175" s="22">
        <f t="shared" si="35"/>
        <v>0</v>
      </c>
      <c r="V175" s="22">
        <f t="shared" si="35"/>
        <v>31945.155917833894</v>
      </c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</row>
    <row r="176" spans="1:35" ht="17.25" thickBot="1" x14ac:dyDescent="0.35">
      <c r="A176" s="54">
        <f>SUM(G176:V176)-F176</f>
        <v>0</v>
      </c>
      <c r="B176" s="54"/>
      <c r="C176" s="29"/>
      <c r="D176" s="1">
        <f>MAX(D173:D175)+NoOne</f>
        <v>42</v>
      </c>
      <c r="E176" s="20" t="s">
        <v>115</v>
      </c>
      <c r="F176" s="55">
        <f t="shared" ref="F176:V176" si="36">SUM(F169:F175)</f>
        <v>100512134.62465675</v>
      </c>
      <c r="G176" s="55">
        <f>SUM(G169:G175)</f>
        <v>52319166.561451606</v>
      </c>
      <c r="H176" s="55">
        <f t="shared" si="36"/>
        <v>16798495.832469974</v>
      </c>
      <c r="I176" s="55">
        <f t="shared" si="36"/>
        <v>17918113.565040622</v>
      </c>
      <c r="J176" s="55">
        <f t="shared" si="36"/>
        <v>2388331.6272585248</v>
      </c>
      <c r="K176" s="55">
        <f t="shared" si="36"/>
        <v>1960361.1413475531</v>
      </c>
      <c r="L176" s="55">
        <f t="shared" si="36"/>
        <v>3655270.3788130232</v>
      </c>
      <c r="M176" s="55">
        <f t="shared" si="36"/>
        <v>1041484.3877793901</v>
      </c>
      <c r="N176" s="55">
        <f t="shared" si="36"/>
        <v>320771.345294956</v>
      </c>
      <c r="O176" s="55">
        <f t="shared" si="36"/>
        <v>567791.93807057315</v>
      </c>
      <c r="P176" s="55">
        <f t="shared" si="36"/>
        <v>534748.79599647108</v>
      </c>
      <c r="Q176" s="55">
        <f t="shared" si="36"/>
        <v>618154.85975814541</v>
      </c>
      <c r="R176" s="55">
        <f t="shared" si="36"/>
        <v>141705.85036828075</v>
      </c>
      <c r="S176" s="55">
        <f t="shared" si="36"/>
        <v>598613.46123453113</v>
      </c>
      <c r="T176" s="55">
        <f t="shared" si="36"/>
        <v>233200.20929882582</v>
      </c>
      <c r="U176" s="55">
        <f t="shared" si="36"/>
        <v>375104.71690050705</v>
      </c>
      <c r="V176" s="55">
        <f t="shared" si="36"/>
        <v>1040819.9535737608</v>
      </c>
      <c r="X176" s="6"/>
      <c r="Y176" s="6"/>
      <c r="Z176" s="6"/>
      <c r="AA176" s="6"/>
      <c r="AB176" s="6"/>
      <c r="AC176" s="20"/>
      <c r="AD176" s="6"/>
      <c r="AE176" s="6"/>
      <c r="AF176" s="6"/>
      <c r="AG176" s="6"/>
      <c r="AH176" s="6"/>
      <c r="AI176" s="6"/>
    </row>
    <row r="177" spans="1:35" ht="17.25" thickTop="1" x14ac:dyDescent="0.3">
      <c r="A177" s="28"/>
      <c r="B177" s="28"/>
      <c r="C177" s="26"/>
      <c r="D177" s="1"/>
      <c r="E177" s="6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</row>
    <row r="178" spans="1:35" ht="16.5" x14ac:dyDescent="0.3">
      <c r="A178" s="28"/>
      <c r="B178" s="28"/>
      <c r="C178" s="26"/>
      <c r="D178" s="1"/>
      <c r="E178" s="6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</row>
    <row r="179" spans="1:35" ht="16.5" x14ac:dyDescent="0.3">
      <c r="A179" s="28"/>
      <c r="B179" s="28"/>
      <c r="C179" s="26"/>
      <c r="D179" s="1"/>
      <c r="E179" s="6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</row>
    <row r="180" spans="1:35" ht="16.5" x14ac:dyDescent="0.3">
      <c r="A180" s="28"/>
      <c r="B180" s="28"/>
      <c r="C180" s="26"/>
      <c r="D180" s="1"/>
      <c r="E180" s="6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X180" s="6"/>
      <c r="Y180" s="6"/>
      <c r="Z180" s="20"/>
      <c r="AA180" s="20"/>
      <c r="AB180" s="20"/>
      <c r="AC180" s="6"/>
      <c r="AD180" s="20"/>
      <c r="AE180" s="20"/>
      <c r="AF180" s="20"/>
      <c r="AG180" s="20"/>
      <c r="AH180" s="20"/>
      <c r="AI180" s="20"/>
    </row>
    <row r="181" spans="1:35" ht="16.5" x14ac:dyDescent="0.3">
      <c r="A181" s="28"/>
      <c r="B181" s="28"/>
      <c r="C181" s="26"/>
      <c r="D181" s="1"/>
      <c r="E181" s="6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42" t="s">
        <v>489</v>
      </c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7"/>
      <c r="AI181" s="42" t="s">
        <v>489</v>
      </c>
    </row>
    <row r="182" spans="1:35" ht="16.5" x14ac:dyDescent="0.3">
      <c r="A182" s="28"/>
      <c r="B182" s="28"/>
      <c r="C182" s="26"/>
      <c r="D182" s="1"/>
      <c r="E182" s="6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42" t="s">
        <v>3</v>
      </c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7"/>
      <c r="AI182" s="7" t="s">
        <v>4</v>
      </c>
    </row>
    <row r="183" spans="1:35" ht="16.5" x14ac:dyDescent="0.3">
      <c r="A183" s="28"/>
      <c r="B183" s="28"/>
      <c r="C183" s="26"/>
      <c r="D183" s="1"/>
      <c r="E183" s="6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X183" s="6"/>
      <c r="Y183" s="6"/>
    </row>
    <row r="184" spans="1:35" ht="16.5" x14ac:dyDescent="0.3">
      <c r="A184" s="43"/>
      <c r="B184" s="43"/>
      <c r="C184" s="44"/>
      <c r="D184" s="8" t="str">
        <f>D5</f>
        <v>NEWFOUNDLAND AND LABRADOR HYDRO</v>
      </c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10"/>
      <c r="X184" s="6"/>
      <c r="Y184" s="6"/>
      <c r="AA184" s="9" t="s">
        <v>6</v>
      </c>
      <c r="AB184" s="9"/>
      <c r="AC184" s="11"/>
      <c r="AD184" s="9"/>
      <c r="AE184" s="9"/>
      <c r="AF184" s="9"/>
      <c r="AG184" s="9"/>
      <c r="AH184" s="11"/>
      <c r="AI184" s="11"/>
    </row>
    <row r="185" spans="1:35" ht="16.5" x14ac:dyDescent="0.3">
      <c r="A185" s="43"/>
      <c r="B185" s="43"/>
      <c r="C185" s="44"/>
      <c r="D185" s="8" t="str">
        <f>D6</f>
        <v>2027 Test Year Cost of Service Study (No Rate Mitigation)</v>
      </c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10"/>
      <c r="X185" s="6"/>
      <c r="Y185" s="6"/>
      <c r="AA185" s="9" t="str">
        <f>RunName</f>
        <v>2027 Test Year Cost of Service Study (No Rate Mitigation)</v>
      </c>
      <c r="AB185" s="9"/>
      <c r="AC185" s="10"/>
      <c r="AD185" s="9"/>
      <c r="AE185" s="9"/>
      <c r="AF185" s="9"/>
      <c r="AG185" s="9"/>
      <c r="AH185" s="11"/>
      <c r="AI185" s="11"/>
    </row>
    <row r="186" spans="1:35" ht="16.5" x14ac:dyDescent="0.3">
      <c r="A186" s="43"/>
      <c r="B186" s="43"/>
      <c r="C186" s="44"/>
      <c r="D186" s="8" t="str">
        <f>$B$1</f>
        <v>Island Interconnected</v>
      </c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10"/>
      <c r="X186" s="6"/>
      <c r="Y186" s="6"/>
      <c r="AA186" s="9" t="str">
        <f>$B$1</f>
        <v>Island Interconnected</v>
      </c>
      <c r="AB186" s="9"/>
      <c r="AC186" s="10"/>
      <c r="AD186" s="9"/>
      <c r="AE186" s="9"/>
      <c r="AF186" s="9"/>
      <c r="AG186" s="9"/>
      <c r="AH186" s="11"/>
      <c r="AI186" s="11"/>
    </row>
    <row r="187" spans="1:35" ht="16.5" x14ac:dyDescent="0.3">
      <c r="A187" s="43"/>
      <c r="B187" s="43"/>
      <c r="C187" s="44"/>
      <c r="D187" s="8" t="s">
        <v>117</v>
      </c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10"/>
      <c r="X187" s="6"/>
      <c r="Y187" s="6"/>
      <c r="Z187" s="6"/>
      <c r="AA187" s="9" t="str">
        <f>+D187&amp;" (CONT'D.)"</f>
        <v>Functional Classification of Rate Base (CONT'D.)</v>
      </c>
      <c r="AB187" s="9"/>
      <c r="AC187" s="10"/>
      <c r="AD187" s="9"/>
      <c r="AE187" s="9"/>
      <c r="AF187" s="9"/>
      <c r="AG187" s="9"/>
      <c r="AH187" s="11"/>
      <c r="AI187" s="11"/>
    </row>
    <row r="188" spans="1:35" ht="16.5" x14ac:dyDescent="0.3">
      <c r="A188" s="28"/>
      <c r="B188" s="28"/>
      <c r="C188" s="26"/>
      <c r="D188" s="1"/>
      <c r="E188" s="6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X188" s="6"/>
      <c r="Y188" s="6"/>
      <c r="Z188" s="6"/>
      <c r="AA188" s="6"/>
      <c r="AB188" s="6"/>
      <c r="AC188" s="1"/>
      <c r="AD188" s="6"/>
      <c r="AE188" s="6"/>
      <c r="AF188" s="6"/>
      <c r="AG188" s="6"/>
      <c r="AH188" s="6"/>
      <c r="AI188" s="6"/>
    </row>
    <row r="189" spans="1:35" ht="16.5" x14ac:dyDescent="0.3">
      <c r="A189" s="45"/>
      <c r="B189" s="45"/>
      <c r="C189" s="45"/>
      <c r="D189" s="1"/>
      <c r="E189" s="1">
        <f t="shared" ref="E189:V189" si="37">MAX(D189)+NoOne</f>
        <v>1</v>
      </c>
      <c r="F189" s="1">
        <f t="shared" si="37"/>
        <v>2</v>
      </c>
      <c r="G189" s="1">
        <f t="shared" si="37"/>
        <v>3</v>
      </c>
      <c r="H189" s="1">
        <f t="shared" si="37"/>
        <v>4</v>
      </c>
      <c r="I189" s="1">
        <f t="shared" si="37"/>
        <v>5</v>
      </c>
      <c r="J189" s="1">
        <f t="shared" si="37"/>
        <v>6</v>
      </c>
      <c r="K189" s="1">
        <f t="shared" si="37"/>
        <v>7</v>
      </c>
      <c r="L189" s="1">
        <f t="shared" si="37"/>
        <v>8</v>
      </c>
      <c r="M189" s="1">
        <f t="shared" si="37"/>
        <v>9</v>
      </c>
      <c r="N189" s="1">
        <f t="shared" si="37"/>
        <v>10</v>
      </c>
      <c r="O189" s="1">
        <f t="shared" si="37"/>
        <v>11</v>
      </c>
      <c r="P189" s="1">
        <f t="shared" si="37"/>
        <v>12</v>
      </c>
      <c r="Q189" s="1">
        <f t="shared" si="37"/>
        <v>13</v>
      </c>
      <c r="R189" s="1">
        <f t="shared" si="37"/>
        <v>14</v>
      </c>
      <c r="S189" s="1">
        <f t="shared" si="37"/>
        <v>15</v>
      </c>
      <c r="T189" s="1">
        <f t="shared" si="37"/>
        <v>16</v>
      </c>
      <c r="U189" s="1">
        <f t="shared" si="37"/>
        <v>17</v>
      </c>
      <c r="V189" s="1">
        <f t="shared" si="37"/>
        <v>18</v>
      </c>
      <c r="X189" s="6"/>
      <c r="Y189" s="6"/>
      <c r="Z189" s="13"/>
      <c r="AA189" s="13"/>
      <c r="AB189" s="13"/>
      <c r="AC189" s="1">
        <f>MAX(AB189)+NoOne</f>
        <v>1</v>
      </c>
      <c r="AD189" s="13"/>
      <c r="AE189" s="1">
        <f>MAX(V189)+NoOne</f>
        <v>19</v>
      </c>
      <c r="AF189" s="13"/>
      <c r="AG189" s="13"/>
      <c r="AH189" s="13"/>
      <c r="AI189" s="13"/>
    </row>
    <row r="190" spans="1:35" ht="16.5" x14ac:dyDescent="0.3">
      <c r="A190" s="45"/>
      <c r="B190" s="45"/>
      <c r="C190" s="46"/>
      <c r="D190" s="1"/>
      <c r="E190" s="13"/>
      <c r="F190" s="25"/>
      <c r="G190" s="13"/>
      <c r="H190" s="13"/>
      <c r="I190" s="13"/>
      <c r="J190" s="13" t="s">
        <v>8</v>
      </c>
      <c r="K190" s="47" t="s">
        <v>9</v>
      </c>
      <c r="L190" s="47"/>
      <c r="M190" s="47"/>
      <c r="N190" s="47"/>
      <c r="O190" s="47"/>
      <c r="P190" s="47"/>
      <c r="Q190" s="47"/>
      <c r="R190" s="47"/>
      <c r="S190" s="47"/>
      <c r="T190" s="47"/>
      <c r="U190" s="23"/>
      <c r="V190" s="25" t="s">
        <v>10</v>
      </c>
      <c r="X190" s="6"/>
      <c r="Y190" s="6"/>
      <c r="Z190" s="16"/>
      <c r="AA190" s="13"/>
      <c r="AB190" s="13"/>
      <c r="AC190" s="13"/>
      <c r="AD190" s="13"/>
      <c r="AE190" s="13"/>
      <c r="AF190" s="13"/>
      <c r="AG190" s="13"/>
      <c r="AH190" s="13"/>
      <c r="AI190" s="13"/>
    </row>
    <row r="191" spans="1:35" ht="16.5" x14ac:dyDescent="0.3">
      <c r="A191" s="45"/>
      <c r="B191" s="45"/>
      <c r="C191" s="46"/>
      <c r="D191" s="1" t="s">
        <v>14</v>
      </c>
      <c r="E191" s="13"/>
      <c r="F191" s="25" t="s">
        <v>15</v>
      </c>
      <c r="G191" s="13" t="s">
        <v>16</v>
      </c>
      <c r="H191" s="13" t="s">
        <v>16</v>
      </c>
      <c r="I191" s="13" t="s">
        <v>17</v>
      </c>
      <c r="J191" s="25" t="s">
        <v>17</v>
      </c>
      <c r="K191" s="25" t="s">
        <v>18</v>
      </c>
      <c r="L191" s="47" t="s">
        <v>19</v>
      </c>
      <c r="M191" s="47"/>
      <c r="N191" s="47" t="s">
        <v>20</v>
      </c>
      <c r="O191" s="47"/>
      <c r="P191" s="47" t="s">
        <v>21</v>
      </c>
      <c r="Q191" s="47"/>
      <c r="R191" s="48" t="s">
        <v>22</v>
      </c>
      <c r="S191" s="48" t="s">
        <v>23</v>
      </c>
      <c r="T191" s="49" t="s">
        <v>24</v>
      </c>
      <c r="U191" s="48" t="s">
        <v>25</v>
      </c>
      <c r="V191" s="25" t="s">
        <v>26</v>
      </c>
      <c r="X191" s="6"/>
      <c r="Y191" s="6"/>
      <c r="Z191" s="16"/>
      <c r="AA191" s="13"/>
      <c r="AB191" s="13"/>
      <c r="AC191" s="13" t="s">
        <v>31</v>
      </c>
      <c r="AD191" s="13"/>
      <c r="AE191" s="17" t="s">
        <v>36</v>
      </c>
      <c r="AF191" s="13"/>
      <c r="AG191" s="13"/>
      <c r="AH191" s="13"/>
      <c r="AI191" s="13"/>
    </row>
    <row r="192" spans="1:35" ht="16.5" x14ac:dyDescent="0.3">
      <c r="A192" s="45"/>
      <c r="B192" s="45"/>
      <c r="C192" s="46"/>
      <c r="D192" s="1" t="s">
        <v>30</v>
      </c>
      <c r="E192" s="13" t="s">
        <v>31</v>
      </c>
      <c r="F192" s="25" t="s">
        <v>32</v>
      </c>
      <c r="G192" s="25" t="s">
        <v>33</v>
      </c>
      <c r="H192" s="25" t="s">
        <v>34</v>
      </c>
      <c r="I192" s="13" t="s">
        <v>33</v>
      </c>
      <c r="J192" s="25" t="s">
        <v>33</v>
      </c>
      <c r="K192" s="25" t="s">
        <v>33</v>
      </c>
      <c r="L192" s="25" t="s">
        <v>33</v>
      </c>
      <c r="M192" s="25" t="s">
        <v>35</v>
      </c>
      <c r="N192" s="25" t="s">
        <v>33</v>
      </c>
      <c r="O192" s="25" t="s">
        <v>35</v>
      </c>
      <c r="P192" s="25" t="s">
        <v>33</v>
      </c>
      <c r="Q192" s="25" t="s">
        <v>35</v>
      </c>
      <c r="R192" s="25" t="s">
        <v>35</v>
      </c>
      <c r="S192" s="25" t="s">
        <v>35</v>
      </c>
      <c r="T192" s="25" t="s">
        <v>35</v>
      </c>
      <c r="U192" s="25" t="s">
        <v>35</v>
      </c>
      <c r="V192" s="25" t="s">
        <v>35</v>
      </c>
      <c r="X192" s="6"/>
      <c r="Y192" s="6"/>
      <c r="Z192" s="16"/>
      <c r="AA192" s="6"/>
      <c r="AB192" s="6"/>
      <c r="AC192" s="13"/>
      <c r="AD192" s="6"/>
      <c r="AE192" s="6"/>
      <c r="AF192" s="6"/>
      <c r="AG192" s="6"/>
      <c r="AH192" s="6"/>
      <c r="AI192" s="6"/>
    </row>
    <row r="193" spans="1:35" ht="16.5" x14ac:dyDescent="0.3">
      <c r="A193" s="45"/>
      <c r="B193" s="45"/>
      <c r="C193" s="46"/>
      <c r="D193" s="1"/>
      <c r="E193" s="13"/>
      <c r="F193" s="25" t="s">
        <v>37</v>
      </c>
      <c r="G193" s="25" t="s">
        <v>37</v>
      </c>
      <c r="H193" s="25" t="s">
        <v>37</v>
      </c>
      <c r="I193" s="13" t="s">
        <v>37</v>
      </c>
      <c r="J193" s="25" t="s">
        <v>37</v>
      </c>
      <c r="K193" s="25" t="s">
        <v>37</v>
      </c>
      <c r="L193" s="25" t="s">
        <v>37</v>
      </c>
      <c r="M193" s="25" t="s">
        <v>37</v>
      </c>
      <c r="N193" s="25" t="s">
        <v>37</v>
      </c>
      <c r="O193" s="25" t="s">
        <v>37</v>
      </c>
      <c r="P193" s="25" t="s">
        <v>37</v>
      </c>
      <c r="Q193" s="25" t="s">
        <v>37</v>
      </c>
      <c r="R193" s="25" t="s">
        <v>37</v>
      </c>
      <c r="S193" s="25" t="s">
        <v>37</v>
      </c>
      <c r="T193" s="25" t="s">
        <v>37</v>
      </c>
      <c r="U193" s="25" t="s">
        <v>37</v>
      </c>
      <c r="V193" s="25" t="s">
        <v>37</v>
      </c>
      <c r="X193" s="6"/>
      <c r="Y193" s="6"/>
      <c r="Z193" s="16"/>
      <c r="AA193" s="6"/>
      <c r="AB193" s="6"/>
      <c r="AC193" s="13" t="str">
        <f t="shared" ref="AC193:AC221" si="38">IF(ISBLANK(E193),"",E193)</f>
        <v/>
      </c>
      <c r="AD193" s="6"/>
      <c r="AE193" s="6"/>
      <c r="AF193" s="6"/>
      <c r="AG193" s="6"/>
      <c r="AH193" s="6"/>
      <c r="AI193" s="6"/>
    </row>
    <row r="194" spans="1:35" ht="16.5" x14ac:dyDescent="0.3">
      <c r="A194" s="28"/>
      <c r="B194" s="28"/>
      <c r="C194" s="26"/>
      <c r="D194" s="1"/>
      <c r="E194" s="6" t="s">
        <v>39</v>
      </c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X194" s="6"/>
      <c r="Y194" s="6"/>
      <c r="Z194" s="6"/>
      <c r="AA194" s="6"/>
      <c r="AB194" s="6"/>
      <c r="AC194" s="6" t="str">
        <f t="shared" si="38"/>
        <v xml:space="preserve"> </v>
      </c>
      <c r="AD194" s="6"/>
      <c r="AE194" s="6"/>
      <c r="AF194" s="6"/>
      <c r="AG194" s="6"/>
      <c r="AH194" s="6"/>
      <c r="AI194" s="6"/>
    </row>
    <row r="195" spans="1:35" ht="16.5" x14ac:dyDescent="0.3">
      <c r="A195" s="28"/>
      <c r="B195" s="28"/>
      <c r="C195" s="19"/>
      <c r="D195" s="1">
        <f>MAX(D192:D194)+NoOne</f>
        <v>1</v>
      </c>
      <c r="E195" s="6" t="s">
        <v>118</v>
      </c>
      <c r="F195" s="23">
        <f>SUM(G195:V195)</f>
        <v>2102740029.6428947</v>
      </c>
      <c r="G195" s="34">
        <f t="shared" ref="G195:V195" si="39">G116</f>
        <v>758094523.60939014</v>
      </c>
      <c r="H195" s="34">
        <f t="shared" si="39"/>
        <v>476193156.3922801</v>
      </c>
      <c r="I195" s="34">
        <f t="shared" si="39"/>
        <v>599698339.15013182</v>
      </c>
      <c r="J195" s="34">
        <f t="shared" si="39"/>
        <v>54644492.255983904</v>
      </c>
      <c r="K195" s="34">
        <f t="shared" si="39"/>
        <v>65092491.7251537</v>
      </c>
      <c r="L195" s="34">
        <f t="shared" si="39"/>
        <v>57156656.032113455</v>
      </c>
      <c r="M195" s="34">
        <f t="shared" si="39"/>
        <v>15716305.651248157</v>
      </c>
      <c r="N195" s="34">
        <f t="shared" si="39"/>
        <v>5583684.1831743438</v>
      </c>
      <c r="O195" s="34">
        <f t="shared" si="39"/>
        <v>9883585.0222947523</v>
      </c>
      <c r="P195" s="34">
        <f t="shared" si="39"/>
        <v>7917691.3495333279</v>
      </c>
      <c r="Q195" s="34">
        <f t="shared" si="39"/>
        <v>9050377.5382101908</v>
      </c>
      <c r="R195" s="34">
        <f t="shared" si="39"/>
        <v>1967526.7689431286</v>
      </c>
      <c r="S195" s="34">
        <f t="shared" si="39"/>
        <v>7527362.2459018575</v>
      </c>
      <c r="T195" s="34">
        <f t="shared" si="39"/>
        <v>2350428.8690874116</v>
      </c>
      <c r="U195" s="34">
        <f t="shared" si="39"/>
        <v>3543748.5312603628</v>
      </c>
      <c r="V195" s="34">
        <f t="shared" si="39"/>
        <v>28319660.318188228</v>
      </c>
      <c r="X195" s="23"/>
      <c r="Y195" s="6"/>
      <c r="Z195" s="25"/>
      <c r="AA195" s="6"/>
      <c r="AB195" s="6"/>
      <c r="AC195" s="6" t="str">
        <f t="shared" si="38"/>
        <v>Average Net Book Value</v>
      </c>
      <c r="AD195" s="6"/>
      <c r="AE195" s="6" t="str">
        <f>+"Sch G 2.3 , L. "&amp;D116</f>
        <v>Sch G 2.3 , L. 42</v>
      </c>
      <c r="AF195" s="6"/>
      <c r="AG195" s="6"/>
      <c r="AH195" s="6"/>
      <c r="AI195" s="6"/>
    </row>
    <row r="196" spans="1:35" ht="16.5" x14ac:dyDescent="0.3">
      <c r="A196" s="28"/>
      <c r="B196" s="28"/>
      <c r="C196" s="19"/>
      <c r="D196" s="1"/>
      <c r="E196" s="6"/>
      <c r="F196" s="23" t="s">
        <v>39</v>
      </c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X196" s="6"/>
      <c r="Y196" s="6"/>
      <c r="Z196" s="6"/>
      <c r="AA196" s="6"/>
      <c r="AB196" s="6"/>
      <c r="AC196" s="6" t="str">
        <f t="shared" si="38"/>
        <v/>
      </c>
      <c r="AD196" s="6"/>
      <c r="AE196" s="6"/>
      <c r="AF196" s="6"/>
      <c r="AG196" s="6"/>
      <c r="AH196" s="6"/>
      <c r="AI196" s="6"/>
    </row>
    <row r="197" spans="1:35" ht="33" x14ac:dyDescent="0.3">
      <c r="A197" s="28">
        <f>F197-SUM(G197:V197)</f>
        <v>0</v>
      </c>
      <c r="B197" s="28"/>
      <c r="C197" s="19"/>
      <c r="D197" s="1">
        <f>MAX(D194:D196)+NoOne</f>
        <v>2</v>
      </c>
      <c r="E197" s="56" t="s">
        <v>119</v>
      </c>
      <c r="F197" s="23">
        <v>116490187.49277692</v>
      </c>
      <c r="G197" s="34">
        <f t="shared" ref="G197:V197" si="40">IF(SUM($G$195:$V$195)&lt;&gt;0,$F197*(G$195/SUM($G$195:$V$195)),0)</f>
        <v>41997856.105637044</v>
      </c>
      <c r="H197" s="34">
        <f t="shared" si="40"/>
        <v>26380736.22459865</v>
      </c>
      <c r="I197" s="34">
        <f t="shared" si="40"/>
        <v>33222828.776684213</v>
      </c>
      <c r="J197" s="34">
        <f t="shared" si="40"/>
        <v>3027263.0275784559</v>
      </c>
      <c r="K197" s="34">
        <f t="shared" si="40"/>
        <v>3606074.1977328183</v>
      </c>
      <c r="L197" s="34">
        <f t="shared" si="40"/>
        <v>3166434.9771149815</v>
      </c>
      <c r="M197" s="34">
        <f t="shared" si="40"/>
        <v>870671.29849551991</v>
      </c>
      <c r="N197" s="34">
        <f t="shared" si="40"/>
        <v>309331.8281047307</v>
      </c>
      <c r="O197" s="34">
        <f t="shared" si="40"/>
        <v>547543.0419914762</v>
      </c>
      <c r="P197" s="34">
        <f t="shared" si="40"/>
        <v>438634.03788137983</v>
      </c>
      <c r="Q197" s="34">
        <f t="shared" si="40"/>
        <v>501383.98539241619</v>
      </c>
      <c r="R197" s="34">
        <f t="shared" si="40"/>
        <v>108999.4763880378</v>
      </c>
      <c r="S197" s="34">
        <f t="shared" si="40"/>
        <v>417010.104430301</v>
      </c>
      <c r="T197" s="34">
        <f t="shared" si="40"/>
        <v>130211.95953307055</v>
      </c>
      <c r="U197" s="34">
        <f t="shared" si="40"/>
        <v>196320.95504639237</v>
      </c>
      <c r="V197" s="34">
        <f t="shared" si="40"/>
        <v>1568887.4961674453</v>
      </c>
      <c r="X197" s="23"/>
      <c r="Y197" s="6"/>
      <c r="Z197" s="25"/>
      <c r="AA197" s="6"/>
      <c r="AB197" s="6"/>
      <c r="AC197" s="6" t="str">
        <f t="shared" si="38"/>
        <v>Cash Working Capital (Including Muskrat Falls)</v>
      </c>
      <c r="AD197" s="6"/>
      <c r="AE197" s="6" t="s">
        <v>120</v>
      </c>
      <c r="AF197" s="6"/>
      <c r="AG197" s="6"/>
      <c r="AH197" s="6"/>
      <c r="AI197" s="6"/>
    </row>
    <row r="198" spans="1:35" ht="16.5" x14ac:dyDescent="0.3">
      <c r="A198" s="28"/>
      <c r="B198" s="28"/>
      <c r="C198" s="19"/>
      <c r="D198" s="1"/>
      <c r="E198" s="6"/>
      <c r="F198" s="23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X198" s="6"/>
      <c r="Y198" s="6"/>
      <c r="Z198" s="25"/>
      <c r="AA198" s="6"/>
      <c r="AB198" s="6"/>
      <c r="AC198" s="6"/>
      <c r="AD198" s="6"/>
      <c r="AE198" s="6"/>
      <c r="AF198" s="6"/>
      <c r="AG198" s="6"/>
      <c r="AH198" s="6"/>
      <c r="AI198" s="6"/>
    </row>
    <row r="199" spans="1:35" ht="16.5" x14ac:dyDescent="0.3">
      <c r="A199" s="28"/>
      <c r="B199" s="28"/>
      <c r="C199" s="19"/>
      <c r="D199" s="1">
        <f>MAX(D196:D198)+NoOne</f>
        <v>3</v>
      </c>
      <c r="E199" s="27" t="s">
        <v>121</v>
      </c>
      <c r="F199" s="23">
        <v>53963965.142307699</v>
      </c>
      <c r="G199" s="23">
        <f t="shared" ref="G199:V201" si="41">$F199*(G287/$F287)</f>
        <v>0</v>
      </c>
      <c r="H199" s="23">
        <f t="shared" si="41"/>
        <v>53963965.142307699</v>
      </c>
      <c r="I199" s="23">
        <f t="shared" si="41"/>
        <v>0</v>
      </c>
      <c r="J199" s="23">
        <f t="shared" si="41"/>
        <v>0</v>
      </c>
      <c r="K199" s="23">
        <f t="shared" si="41"/>
        <v>0</v>
      </c>
      <c r="L199" s="23">
        <f t="shared" si="41"/>
        <v>0</v>
      </c>
      <c r="M199" s="23">
        <f t="shared" si="41"/>
        <v>0</v>
      </c>
      <c r="N199" s="23">
        <f t="shared" si="41"/>
        <v>0</v>
      </c>
      <c r="O199" s="23">
        <f t="shared" si="41"/>
        <v>0</v>
      </c>
      <c r="P199" s="23">
        <f t="shared" si="41"/>
        <v>0</v>
      </c>
      <c r="Q199" s="23">
        <f t="shared" si="41"/>
        <v>0</v>
      </c>
      <c r="R199" s="23">
        <f t="shared" si="41"/>
        <v>0</v>
      </c>
      <c r="S199" s="23">
        <f t="shared" si="41"/>
        <v>0</v>
      </c>
      <c r="T199" s="23">
        <f t="shared" si="41"/>
        <v>0</v>
      </c>
      <c r="U199" s="23">
        <f t="shared" si="41"/>
        <v>0</v>
      </c>
      <c r="V199" s="23">
        <f t="shared" si="41"/>
        <v>0</v>
      </c>
      <c r="X199" s="23"/>
      <c r="Y199" s="6"/>
      <c r="Z199" s="25"/>
      <c r="AA199" s="6"/>
      <c r="AB199" s="6"/>
      <c r="AC199" s="6" t="str">
        <f>IF(ISBLANK(E199),"",E199)</f>
        <v>Fuel Inventory - No. 6 Fuel</v>
      </c>
      <c r="AD199" s="6"/>
      <c r="AE199" s="6" t="s">
        <v>580</v>
      </c>
      <c r="AF199" s="6"/>
      <c r="AG199" s="6"/>
      <c r="AH199" s="6"/>
      <c r="AI199" s="6"/>
    </row>
    <row r="200" spans="1:35" ht="16.5" x14ac:dyDescent="0.3">
      <c r="A200" s="28">
        <f>F200-SUM(G200:V200)</f>
        <v>0</v>
      </c>
      <c r="B200" s="28"/>
      <c r="C200" s="19"/>
      <c r="D200" s="1">
        <f>MAX(D197:D199)+NoOne</f>
        <v>4</v>
      </c>
      <c r="E200" s="6" t="s">
        <v>122</v>
      </c>
      <c r="F200" s="23">
        <v>180545.75907613579</v>
      </c>
      <c r="G200" s="23">
        <f t="shared" si="41"/>
        <v>180545.75907613579</v>
      </c>
      <c r="H200" s="23">
        <f t="shared" si="41"/>
        <v>0</v>
      </c>
      <c r="I200" s="23">
        <f t="shared" si="41"/>
        <v>0</v>
      </c>
      <c r="J200" s="23">
        <f t="shared" si="41"/>
        <v>0</v>
      </c>
      <c r="K200" s="23">
        <f t="shared" si="41"/>
        <v>0</v>
      </c>
      <c r="L200" s="23">
        <f t="shared" si="41"/>
        <v>0</v>
      </c>
      <c r="M200" s="23">
        <f t="shared" si="41"/>
        <v>0</v>
      </c>
      <c r="N200" s="23">
        <f t="shared" si="41"/>
        <v>0</v>
      </c>
      <c r="O200" s="23">
        <f t="shared" si="41"/>
        <v>0</v>
      </c>
      <c r="P200" s="23">
        <f t="shared" si="41"/>
        <v>0</v>
      </c>
      <c r="Q200" s="23">
        <f t="shared" si="41"/>
        <v>0</v>
      </c>
      <c r="R200" s="23">
        <f t="shared" si="41"/>
        <v>0</v>
      </c>
      <c r="S200" s="23">
        <f t="shared" si="41"/>
        <v>0</v>
      </c>
      <c r="T200" s="23">
        <f t="shared" si="41"/>
        <v>0</v>
      </c>
      <c r="U200" s="23">
        <f t="shared" si="41"/>
        <v>0</v>
      </c>
      <c r="V200" s="23">
        <f t="shared" si="41"/>
        <v>0</v>
      </c>
      <c r="X200" s="23"/>
      <c r="Y200" s="6"/>
      <c r="Z200" s="25"/>
      <c r="AA200" s="6"/>
      <c r="AB200" s="6"/>
      <c r="AC200" s="6" t="str">
        <f t="shared" si="38"/>
        <v>Fuel Inventory - Diesel</v>
      </c>
      <c r="AD200" s="6"/>
      <c r="AE200" s="6" t="s">
        <v>581</v>
      </c>
      <c r="AF200" s="6"/>
      <c r="AG200" s="6"/>
      <c r="AH200" s="6"/>
      <c r="AI200" s="6"/>
    </row>
    <row r="201" spans="1:35" ht="16.5" x14ac:dyDescent="0.3">
      <c r="A201" s="28"/>
      <c r="B201" s="28"/>
      <c r="C201" s="19"/>
      <c r="D201" s="1">
        <f>MAX(D198:D200)+NoOne</f>
        <v>5</v>
      </c>
      <c r="E201" s="27" t="s">
        <v>123</v>
      </c>
      <c r="F201" s="23">
        <v>7763005.7876923075</v>
      </c>
      <c r="G201" s="23">
        <f t="shared" si="41"/>
        <v>7763005.7876923075</v>
      </c>
      <c r="H201" s="23">
        <f t="shared" si="41"/>
        <v>0</v>
      </c>
      <c r="I201" s="23">
        <f t="shared" si="41"/>
        <v>0</v>
      </c>
      <c r="J201" s="23">
        <f t="shared" si="41"/>
        <v>0</v>
      </c>
      <c r="K201" s="23">
        <f t="shared" si="41"/>
        <v>0</v>
      </c>
      <c r="L201" s="23">
        <f t="shared" si="41"/>
        <v>0</v>
      </c>
      <c r="M201" s="23">
        <f t="shared" si="41"/>
        <v>0</v>
      </c>
      <c r="N201" s="23">
        <f t="shared" si="41"/>
        <v>0</v>
      </c>
      <c r="O201" s="23">
        <f t="shared" si="41"/>
        <v>0</v>
      </c>
      <c r="P201" s="23">
        <f t="shared" si="41"/>
        <v>0</v>
      </c>
      <c r="Q201" s="23">
        <f t="shared" si="41"/>
        <v>0</v>
      </c>
      <c r="R201" s="23">
        <f t="shared" si="41"/>
        <v>0</v>
      </c>
      <c r="S201" s="23">
        <f t="shared" si="41"/>
        <v>0</v>
      </c>
      <c r="T201" s="23">
        <f t="shared" si="41"/>
        <v>0</v>
      </c>
      <c r="U201" s="23">
        <f t="shared" si="41"/>
        <v>0</v>
      </c>
      <c r="V201" s="23">
        <f t="shared" si="41"/>
        <v>0</v>
      </c>
      <c r="X201" s="6"/>
      <c r="Y201" s="6"/>
      <c r="Z201" s="25"/>
      <c r="AA201" s="6"/>
      <c r="AB201" s="6"/>
      <c r="AC201" s="6" t="str">
        <f t="shared" si="38"/>
        <v>Fuel Inventory - Gas Turbine</v>
      </c>
      <c r="AD201" s="6"/>
      <c r="AE201" s="57" t="s">
        <v>582</v>
      </c>
      <c r="AF201" s="6"/>
      <c r="AG201" s="6"/>
      <c r="AH201" s="6"/>
      <c r="AI201" s="6"/>
    </row>
    <row r="202" spans="1:35" ht="16.5" x14ac:dyDescent="0.3">
      <c r="A202" s="28"/>
      <c r="B202" s="28"/>
      <c r="C202" s="19"/>
      <c r="D202" s="1"/>
      <c r="E202" s="6"/>
      <c r="F202" s="23">
        <v>0</v>
      </c>
      <c r="G202" s="23">
        <v>0</v>
      </c>
      <c r="H202" s="23">
        <v>0</v>
      </c>
      <c r="I202" s="23">
        <v>0</v>
      </c>
      <c r="J202" s="23">
        <v>0</v>
      </c>
      <c r="K202" s="23">
        <v>0</v>
      </c>
      <c r="L202" s="23">
        <v>0</v>
      </c>
      <c r="M202" s="23">
        <v>0</v>
      </c>
      <c r="N202" s="23">
        <v>0</v>
      </c>
      <c r="O202" s="23">
        <v>0</v>
      </c>
      <c r="P202" s="23">
        <v>0</v>
      </c>
      <c r="Q202" s="23">
        <v>0</v>
      </c>
      <c r="R202" s="23">
        <v>0</v>
      </c>
      <c r="S202" s="23">
        <v>0</v>
      </c>
      <c r="T202" s="23">
        <v>0</v>
      </c>
      <c r="U202" s="23">
        <v>0</v>
      </c>
      <c r="V202" s="23">
        <v>0</v>
      </c>
      <c r="X202" s="6"/>
      <c r="Y202" s="6"/>
      <c r="Z202" s="6"/>
      <c r="AA202" s="6"/>
      <c r="AB202" s="6"/>
      <c r="AC202" s="6" t="str">
        <f t="shared" si="38"/>
        <v/>
      </c>
      <c r="AD202" s="6"/>
      <c r="AE202" s="6"/>
      <c r="AF202" s="6"/>
      <c r="AG202" s="6"/>
      <c r="AH202" s="6"/>
      <c r="AI202" s="6"/>
    </row>
    <row r="203" spans="1:35" ht="16.5" x14ac:dyDescent="0.3">
      <c r="A203" s="28">
        <f>F203-SUM(G203:V203)</f>
        <v>0</v>
      </c>
      <c r="B203" s="28"/>
      <c r="C203" s="19"/>
      <c r="D203" s="1">
        <f>MAX(D200:D202)+NoOne</f>
        <v>6</v>
      </c>
      <c r="E203" s="6" t="s">
        <v>124</v>
      </c>
      <c r="F203" s="23">
        <v>39481123.042142414</v>
      </c>
      <c r="G203" s="34">
        <f t="shared" ref="G203:V203" si="42">IF(SUM($G$58:$V$58)&lt;&gt;0,$F203*(G$58/SUM($G$58:$V$58)),0)</f>
        <v>15246674.190477744</v>
      </c>
      <c r="H203" s="34">
        <f t="shared" si="42"/>
        <v>8016130.5627348004</v>
      </c>
      <c r="I203" s="34">
        <f t="shared" si="42"/>
        <v>9990618.916015435</v>
      </c>
      <c r="J203" s="34">
        <f t="shared" si="42"/>
        <v>1500760.3473599402</v>
      </c>
      <c r="K203" s="34">
        <f t="shared" si="42"/>
        <v>785819.64754384302</v>
      </c>
      <c r="L203" s="34">
        <f t="shared" si="42"/>
        <v>1566929.6053116939</v>
      </c>
      <c r="M203" s="34">
        <f t="shared" si="42"/>
        <v>427484.78613857512</v>
      </c>
      <c r="N203" s="34">
        <f t="shared" si="42"/>
        <v>130663.63943937079</v>
      </c>
      <c r="O203" s="34">
        <f t="shared" si="42"/>
        <v>231285.50028187802</v>
      </c>
      <c r="P203" s="34">
        <f t="shared" si="42"/>
        <v>226384.1877729976</v>
      </c>
      <c r="Q203" s="34">
        <f t="shared" si="42"/>
        <v>256908.69823579758</v>
      </c>
      <c r="R203" s="34">
        <f t="shared" si="42"/>
        <v>75445.271751851469</v>
      </c>
      <c r="S203" s="34">
        <f t="shared" si="42"/>
        <v>126406.99860844888</v>
      </c>
      <c r="T203" s="34">
        <f t="shared" si="42"/>
        <v>64375.451626378621</v>
      </c>
      <c r="U203" s="34">
        <f t="shared" si="42"/>
        <v>86270.658215651594</v>
      </c>
      <c r="V203" s="34">
        <f t="shared" si="42"/>
        <v>748964.58062800625</v>
      </c>
      <c r="X203" s="23"/>
      <c r="Y203" s="6"/>
      <c r="Z203" s="25"/>
      <c r="AA203" s="6"/>
      <c r="AB203" s="6"/>
      <c r="AC203" s="6" t="str">
        <f t="shared" si="38"/>
        <v>Inventory/Supplies</v>
      </c>
      <c r="AD203" s="6"/>
      <c r="AE203" s="6" t="str">
        <f>"Prorated on Total Plant in Service, Sch G 2.2, L. "&amp;$D$58</f>
        <v>Prorated on Total Plant in Service, Sch G 2.2, L. 42</v>
      </c>
      <c r="AF203" s="6"/>
      <c r="AG203" s="6"/>
      <c r="AH203" s="6"/>
      <c r="AI203" s="6"/>
    </row>
    <row r="204" spans="1:35" ht="16.5" x14ac:dyDescent="0.3">
      <c r="A204" s="28"/>
      <c r="B204" s="28"/>
      <c r="C204" s="19"/>
      <c r="D204" s="1"/>
      <c r="E204" s="6"/>
      <c r="F204" s="23">
        <v>0</v>
      </c>
      <c r="G204" s="34">
        <v>0</v>
      </c>
      <c r="H204" s="34">
        <v>0</v>
      </c>
      <c r="I204" s="34">
        <v>0</v>
      </c>
      <c r="J204" s="34">
        <v>0</v>
      </c>
      <c r="K204" s="34">
        <v>0</v>
      </c>
      <c r="L204" s="34">
        <v>0</v>
      </c>
      <c r="M204" s="34">
        <v>0</v>
      </c>
      <c r="N204" s="34">
        <v>0</v>
      </c>
      <c r="O204" s="34">
        <v>0</v>
      </c>
      <c r="P204" s="34">
        <v>0</v>
      </c>
      <c r="Q204" s="34">
        <v>0</v>
      </c>
      <c r="R204" s="34">
        <v>0</v>
      </c>
      <c r="S204" s="34">
        <v>0</v>
      </c>
      <c r="T204" s="34">
        <v>0</v>
      </c>
      <c r="U204" s="34">
        <v>0</v>
      </c>
      <c r="V204" s="34">
        <v>0</v>
      </c>
      <c r="X204" s="23"/>
      <c r="Y204" s="6"/>
      <c r="Z204" s="25"/>
      <c r="AA204" s="6"/>
      <c r="AB204" s="6"/>
      <c r="AC204" s="6"/>
      <c r="AD204" s="6"/>
      <c r="AE204" s="6"/>
      <c r="AF204" s="6"/>
      <c r="AG204" s="6"/>
      <c r="AH204" s="6"/>
      <c r="AI204" s="6"/>
    </row>
    <row r="205" spans="1:35" ht="16.5" customHeight="1" x14ac:dyDescent="0.3">
      <c r="A205" s="28">
        <f>F205-SUM(G205:V205)</f>
        <v>0</v>
      </c>
      <c r="B205" s="28"/>
      <c r="C205" s="19"/>
      <c r="D205" s="1">
        <f>MAX(D202:D204)+NoOne</f>
        <v>7</v>
      </c>
      <c r="E205" s="6" t="s">
        <v>555</v>
      </c>
      <c r="F205" s="23">
        <v>47774.5</v>
      </c>
      <c r="G205" s="34">
        <v>42442.8658</v>
      </c>
      <c r="H205" s="34">
        <v>5331.6342000000004</v>
      </c>
      <c r="I205" s="34">
        <v>0</v>
      </c>
      <c r="J205" s="23">
        <v>0</v>
      </c>
      <c r="K205" s="23">
        <v>0</v>
      </c>
      <c r="L205" s="23">
        <v>0</v>
      </c>
      <c r="M205" s="23">
        <v>0</v>
      </c>
      <c r="N205" s="23">
        <v>0</v>
      </c>
      <c r="O205" s="23">
        <v>0</v>
      </c>
      <c r="P205" s="23">
        <v>0</v>
      </c>
      <c r="Q205" s="23">
        <v>0</v>
      </c>
      <c r="R205" s="23">
        <v>0</v>
      </c>
      <c r="S205" s="23">
        <v>0</v>
      </c>
      <c r="T205" s="23">
        <v>0</v>
      </c>
      <c r="U205" s="23">
        <v>0</v>
      </c>
      <c r="V205" s="23">
        <v>0</v>
      </c>
      <c r="X205" s="6"/>
      <c r="Y205" s="6"/>
      <c r="Z205" s="6"/>
      <c r="AA205" s="6"/>
      <c r="AB205" s="6"/>
      <c r="AC205" s="6" t="str">
        <f t="shared" si="38"/>
        <v>Deferred Charges: Muskrat Falls</v>
      </c>
      <c r="AD205" s="6"/>
      <c r="AE205" s="57" t="s">
        <v>567</v>
      </c>
      <c r="AF205" s="6"/>
      <c r="AG205" s="6"/>
      <c r="AH205" s="6"/>
      <c r="AI205" s="6"/>
    </row>
    <row r="206" spans="1:35" ht="49.5" x14ac:dyDescent="0.3">
      <c r="A206" s="28">
        <f>F206-SUM(G206:V206)</f>
        <v>0</v>
      </c>
      <c r="B206" s="28"/>
      <c r="C206" s="19"/>
      <c r="D206" s="1">
        <f>MAX(D203:D205)+NoOne</f>
        <v>8</v>
      </c>
      <c r="E206" s="56" t="s">
        <v>125</v>
      </c>
      <c r="F206" s="23">
        <v>101068768.10439928</v>
      </c>
      <c r="G206" s="34">
        <f t="shared" ref="G206:V207" si="43">IF(SUM($G$195:$V$195)&lt;&gt;0,$F206*(G$195/SUM($G$195:$V$195)),0)</f>
        <v>36438018.265579276</v>
      </c>
      <c r="H206" s="34">
        <f t="shared" si="43"/>
        <v>22888352.824332189</v>
      </c>
      <c r="I206" s="34">
        <f t="shared" si="43"/>
        <v>28824662.829313952</v>
      </c>
      <c r="J206" s="34">
        <f t="shared" si="43"/>
        <v>2626502.2961210366</v>
      </c>
      <c r="K206" s="34">
        <f t="shared" si="43"/>
        <v>3128688.215739327</v>
      </c>
      <c r="L206" s="34">
        <f t="shared" si="43"/>
        <v>2747250.1273082467</v>
      </c>
      <c r="M206" s="34">
        <f t="shared" si="43"/>
        <v>755408.48080664559</v>
      </c>
      <c r="N206" s="34">
        <f t="shared" si="43"/>
        <v>268381.29008905118</v>
      </c>
      <c r="O206" s="34">
        <f t="shared" si="43"/>
        <v>475057.18661192164</v>
      </c>
      <c r="P206" s="34">
        <f t="shared" si="43"/>
        <v>380565.97565420117</v>
      </c>
      <c r="Q206" s="34">
        <f t="shared" si="43"/>
        <v>435008.84359060484</v>
      </c>
      <c r="R206" s="34">
        <f t="shared" si="43"/>
        <v>94569.706167282318</v>
      </c>
      <c r="S206" s="34">
        <f t="shared" si="43"/>
        <v>361804.70174340444</v>
      </c>
      <c r="T206" s="34">
        <f t="shared" si="43"/>
        <v>112973.99914721015</v>
      </c>
      <c r="U206" s="34">
        <f t="shared" si="43"/>
        <v>170331.23138245736</v>
      </c>
      <c r="V206" s="34">
        <f t="shared" si="43"/>
        <v>1361192.1308124871</v>
      </c>
      <c r="X206" s="23"/>
      <c r="Y206" s="6"/>
      <c r="Z206" s="58"/>
      <c r="AA206" s="6"/>
      <c r="AB206" s="6"/>
      <c r="AC206" s="56" t="str">
        <f t="shared" si="38"/>
        <v>Deferred Charges: 
Foreign Exchange Loss and Regulatory Costs</v>
      </c>
      <c r="AD206" s="6"/>
      <c r="AE206" s="235" t="s">
        <v>120</v>
      </c>
      <c r="AF206" s="236"/>
      <c r="AG206" s="6"/>
      <c r="AH206" s="6"/>
      <c r="AI206" s="6"/>
    </row>
    <row r="207" spans="1:35" ht="16.5" x14ac:dyDescent="0.3">
      <c r="A207" s="28"/>
      <c r="B207" s="28"/>
      <c r="C207" s="26" t="s">
        <v>39</v>
      </c>
      <c r="D207" s="1">
        <f>MAX(D204:D206)+NoOne</f>
        <v>9</v>
      </c>
      <c r="E207" s="6" t="s">
        <v>126</v>
      </c>
      <c r="F207" s="23">
        <v>28866723.831891239</v>
      </c>
      <c r="G207" s="34">
        <f t="shared" si="43"/>
        <v>10407232.916575948</v>
      </c>
      <c r="H207" s="34">
        <f t="shared" si="43"/>
        <v>6537249.5612531956</v>
      </c>
      <c r="I207" s="34">
        <f t="shared" si="43"/>
        <v>8232746.842048117</v>
      </c>
      <c r="J207" s="34">
        <f t="shared" si="43"/>
        <v>750167.61209196923</v>
      </c>
      <c r="K207" s="34">
        <f t="shared" si="43"/>
        <v>893599.28268393059</v>
      </c>
      <c r="L207" s="34">
        <f t="shared" si="43"/>
        <v>784654.96522345848</v>
      </c>
      <c r="M207" s="34">
        <f t="shared" si="43"/>
        <v>215755.75130379747</v>
      </c>
      <c r="N207" s="34">
        <f t="shared" si="43"/>
        <v>76653.636211779551</v>
      </c>
      <c r="O207" s="34">
        <f t="shared" si="43"/>
        <v>135683.30620312225</v>
      </c>
      <c r="P207" s="34">
        <f t="shared" si="43"/>
        <v>108695.22924902345</v>
      </c>
      <c r="Q207" s="34">
        <f t="shared" si="43"/>
        <v>124244.91153774905</v>
      </c>
      <c r="R207" s="34">
        <f t="shared" si="43"/>
        <v>27010.496338237386</v>
      </c>
      <c r="S207" s="34">
        <f t="shared" si="43"/>
        <v>103336.73400984124</v>
      </c>
      <c r="T207" s="34">
        <f t="shared" si="43"/>
        <v>32267.032583183136</v>
      </c>
      <c r="U207" s="34">
        <f t="shared" si="43"/>
        <v>48649.100097711998</v>
      </c>
      <c r="V207" s="34">
        <f t="shared" si="43"/>
        <v>388776.4544801779</v>
      </c>
      <c r="X207" s="23"/>
      <c r="Y207" s="6"/>
      <c r="Z207" s="58"/>
      <c r="AA207" s="6"/>
      <c r="AB207" s="6"/>
      <c r="AC207" s="56" t="str">
        <f t="shared" si="38"/>
        <v>Retired Asset Pool</v>
      </c>
      <c r="AD207" s="6"/>
      <c r="AE207" s="235" t="s">
        <v>120</v>
      </c>
      <c r="AF207" s="236"/>
      <c r="AG207" s="6"/>
      <c r="AH207" s="6"/>
      <c r="AI207" s="6"/>
    </row>
    <row r="208" spans="1:35" ht="17.25" thickBot="1" x14ac:dyDescent="0.35">
      <c r="A208" s="28">
        <f>SUM(F195:F207)-F208</f>
        <v>0</v>
      </c>
      <c r="B208" s="28"/>
      <c r="C208" s="26" t="s">
        <v>39</v>
      </c>
      <c r="D208" s="1">
        <f>MAX(D206:D207)+NoOne</f>
        <v>10</v>
      </c>
      <c r="E208" s="6" t="s">
        <v>127</v>
      </c>
      <c r="F208" s="41">
        <f>SUM(G208:V208)</f>
        <v>2450602123.3031816</v>
      </c>
      <c r="G208" s="41">
        <f>SUM(G195:G207)</f>
        <v>870170299.50022852</v>
      </c>
      <c r="H208" s="41">
        <f t="shared" ref="H208:V208" si="44">SUM(H195:H207)</f>
        <v>593984922.34170675</v>
      </c>
      <c r="I208" s="41">
        <f t="shared" si="44"/>
        <v>679969196.51419353</v>
      </c>
      <c r="J208" s="41">
        <f t="shared" si="44"/>
        <v>62549185.539135307</v>
      </c>
      <c r="K208" s="41">
        <f t="shared" si="44"/>
        <v>73506673.068853617</v>
      </c>
      <c r="L208" s="41">
        <f t="shared" si="44"/>
        <v>65421925.707071841</v>
      </c>
      <c r="M208" s="41">
        <f t="shared" si="44"/>
        <v>17985625.967992693</v>
      </c>
      <c r="N208" s="41">
        <f t="shared" si="44"/>
        <v>6368714.5770192761</v>
      </c>
      <c r="O208" s="41">
        <f t="shared" si="44"/>
        <v>11273154.05738315</v>
      </c>
      <c r="P208" s="41">
        <f t="shared" si="44"/>
        <v>9071970.7800909299</v>
      </c>
      <c r="Q208" s="41">
        <f t="shared" si="44"/>
        <v>10367923.976966757</v>
      </c>
      <c r="R208" s="41">
        <f t="shared" si="44"/>
        <v>2273551.7195885382</v>
      </c>
      <c r="S208" s="41">
        <f t="shared" si="44"/>
        <v>8535920.7846938539</v>
      </c>
      <c r="T208" s="41">
        <f t="shared" si="44"/>
        <v>2690257.3119772542</v>
      </c>
      <c r="U208" s="41">
        <f t="shared" si="44"/>
        <v>4045320.4760025768</v>
      </c>
      <c r="V208" s="41">
        <f t="shared" si="44"/>
        <v>32387480.980276346</v>
      </c>
      <c r="X208" s="6"/>
      <c r="Y208" s="6"/>
      <c r="Z208" s="25"/>
      <c r="AA208" s="6"/>
      <c r="AB208" s="6"/>
      <c r="AC208" s="6" t="str">
        <f t="shared" si="38"/>
        <v>Total Rate Base</v>
      </c>
      <c r="AD208" s="6"/>
      <c r="AE208" s="6" t="s">
        <v>39</v>
      </c>
      <c r="AF208" s="6"/>
      <c r="AG208" s="6"/>
      <c r="AH208" s="6"/>
      <c r="AI208" s="6"/>
    </row>
    <row r="209" spans="1:35" ht="17.25" thickTop="1" x14ac:dyDescent="0.3">
      <c r="A209" s="28"/>
      <c r="B209" s="28"/>
      <c r="C209" s="19"/>
      <c r="D209" s="1"/>
      <c r="E209" s="6"/>
      <c r="F209" s="23" t="s">
        <v>39</v>
      </c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X209" s="6"/>
      <c r="Y209" s="6"/>
      <c r="Z209" s="6"/>
      <c r="AA209" s="6"/>
      <c r="AB209" s="6"/>
      <c r="AC209" s="6" t="str">
        <f t="shared" si="38"/>
        <v/>
      </c>
      <c r="AD209" s="6"/>
      <c r="AE209" s="6"/>
      <c r="AF209" s="6"/>
      <c r="AG209" s="6"/>
      <c r="AH209" s="6"/>
      <c r="AI209" s="6"/>
    </row>
    <row r="210" spans="1:35" ht="16.5" x14ac:dyDescent="0.3">
      <c r="A210" s="28"/>
      <c r="B210" s="28"/>
      <c r="C210" s="19"/>
      <c r="D210" s="1">
        <f>MAX(D207:D209)+NoOne</f>
        <v>11</v>
      </c>
      <c r="E210" s="27" t="s">
        <v>128</v>
      </c>
      <c r="F210" s="59">
        <f>SUM(G210:V210)</f>
        <v>0</v>
      </c>
      <c r="G210" s="59">
        <v>0</v>
      </c>
      <c r="H210" s="59">
        <v>0</v>
      </c>
      <c r="I210" s="59">
        <v>0</v>
      </c>
      <c r="J210" s="59">
        <v>0</v>
      </c>
      <c r="K210" s="59">
        <f t="shared" ref="K210:U210" si="45">IF(RuralMarginSwitch=1,-K208,0)</f>
        <v>0</v>
      </c>
      <c r="L210" s="59">
        <f t="shared" si="45"/>
        <v>0</v>
      </c>
      <c r="M210" s="59">
        <f t="shared" si="45"/>
        <v>0</v>
      </c>
      <c r="N210" s="59">
        <f t="shared" si="45"/>
        <v>0</v>
      </c>
      <c r="O210" s="59">
        <f t="shared" si="45"/>
        <v>0</v>
      </c>
      <c r="P210" s="59">
        <f t="shared" si="45"/>
        <v>0</v>
      </c>
      <c r="Q210" s="59">
        <f t="shared" si="45"/>
        <v>0</v>
      </c>
      <c r="R210" s="59">
        <f t="shared" si="45"/>
        <v>0</v>
      </c>
      <c r="S210" s="59">
        <f t="shared" si="45"/>
        <v>0</v>
      </c>
      <c r="T210" s="59">
        <f t="shared" si="45"/>
        <v>0</v>
      </c>
      <c r="U210" s="59">
        <f t="shared" si="45"/>
        <v>0</v>
      </c>
      <c r="V210" s="59">
        <f>V208*V378</f>
        <v>0</v>
      </c>
      <c r="X210" s="6"/>
      <c r="Y210" s="6"/>
      <c r="Z210" s="25"/>
      <c r="AA210" s="6"/>
      <c r="AB210" s="6"/>
      <c r="AC210" s="6" t="str">
        <f t="shared" si="38"/>
        <v>Less: Rural Asset Portion</v>
      </c>
      <c r="AD210" s="6"/>
      <c r="AE210" s="6" t="s">
        <v>563</v>
      </c>
      <c r="AF210" s="6"/>
      <c r="AG210" s="6"/>
      <c r="AH210" s="6"/>
      <c r="AI210" s="6"/>
    </row>
    <row r="211" spans="1:35" ht="16.5" x14ac:dyDescent="0.3">
      <c r="A211" s="28"/>
      <c r="B211" s="28"/>
      <c r="C211" s="19"/>
      <c r="D211" s="1"/>
      <c r="E211" s="6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X211" s="6"/>
      <c r="Y211" s="6"/>
      <c r="Z211" s="6"/>
      <c r="AA211" s="6"/>
      <c r="AB211" s="6"/>
      <c r="AC211" s="6" t="str">
        <f t="shared" si="38"/>
        <v/>
      </c>
      <c r="AD211" s="6"/>
      <c r="AE211" s="6"/>
      <c r="AF211" s="6"/>
      <c r="AG211" s="6"/>
      <c r="AH211" s="6"/>
      <c r="AI211" s="6"/>
    </row>
    <row r="212" spans="1:35" ht="33.75" thickBot="1" x14ac:dyDescent="0.35">
      <c r="A212" s="28">
        <f>F208+F210-F212</f>
        <v>0</v>
      </c>
      <c r="B212" s="28"/>
      <c r="C212" s="19"/>
      <c r="D212" s="1">
        <f>MAX(D209:D211)+NoOne</f>
        <v>12</v>
      </c>
      <c r="E212" s="33" t="s">
        <v>129</v>
      </c>
      <c r="F212" s="60">
        <f>SUM(G212:V212)</f>
        <v>2450602123.3031816</v>
      </c>
      <c r="G212" s="60">
        <f>SUM(G208,G210)</f>
        <v>870170299.50022852</v>
      </c>
      <c r="H212" s="60">
        <f>SUM(H208,H210)</f>
        <v>593984922.34170675</v>
      </c>
      <c r="I212" s="60">
        <f>SUM(I208,I210)</f>
        <v>679969196.51419353</v>
      </c>
      <c r="J212" s="60">
        <f t="shared" ref="J212:V212" si="46">SUM(J208,J210)</f>
        <v>62549185.539135307</v>
      </c>
      <c r="K212" s="60">
        <f t="shared" si="46"/>
        <v>73506673.068853617</v>
      </c>
      <c r="L212" s="60">
        <f t="shared" si="46"/>
        <v>65421925.707071841</v>
      </c>
      <c r="M212" s="60">
        <f t="shared" si="46"/>
        <v>17985625.967992693</v>
      </c>
      <c r="N212" s="60">
        <f t="shared" si="46"/>
        <v>6368714.5770192761</v>
      </c>
      <c r="O212" s="60">
        <f t="shared" si="46"/>
        <v>11273154.05738315</v>
      </c>
      <c r="P212" s="60">
        <f t="shared" si="46"/>
        <v>9071970.7800909299</v>
      </c>
      <c r="Q212" s="60">
        <f t="shared" si="46"/>
        <v>10367923.976966757</v>
      </c>
      <c r="R212" s="60">
        <f t="shared" si="46"/>
        <v>2273551.7195885382</v>
      </c>
      <c r="S212" s="60">
        <f t="shared" si="46"/>
        <v>8535920.7846938539</v>
      </c>
      <c r="T212" s="60">
        <f t="shared" si="46"/>
        <v>2690257.3119772542</v>
      </c>
      <c r="U212" s="60">
        <f t="shared" si="46"/>
        <v>4045320.4760025768</v>
      </c>
      <c r="V212" s="60">
        <f t="shared" si="46"/>
        <v>32387480.980276346</v>
      </c>
      <c r="X212" s="6"/>
      <c r="Y212" s="6"/>
      <c r="Z212" s="25"/>
      <c r="AA212" s="6"/>
      <c r="AB212" s="6"/>
      <c r="AC212" s="56" t="str">
        <f t="shared" si="38"/>
        <v>Rate Base Available for Equity Return</v>
      </c>
      <c r="AD212" s="6" t="s">
        <v>39</v>
      </c>
      <c r="AE212" s="6" t="s">
        <v>39</v>
      </c>
      <c r="AF212" s="6"/>
      <c r="AG212" s="6"/>
      <c r="AH212" s="6"/>
      <c r="AI212" s="6"/>
    </row>
    <row r="213" spans="1:35" ht="17.25" thickTop="1" x14ac:dyDescent="0.3">
      <c r="A213" s="28"/>
      <c r="B213" s="28"/>
      <c r="C213" s="19"/>
      <c r="D213" s="1"/>
      <c r="E213" s="6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X213" s="6"/>
      <c r="Y213" s="6"/>
      <c r="Z213" s="6"/>
      <c r="AA213" s="6"/>
      <c r="AB213" s="6"/>
      <c r="AC213" s="1" t="str">
        <f t="shared" si="38"/>
        <v/>
      </c>
      <c r="AD213" s="6"/>
      <c r="AE213" s="6"/>
      <c r="AF213" s="6"/>
      <c r="AG213" s="6"/>
      <c r="AH213" s="6"/>
      <c r="AI213" s="6"/>
    </row>
    <row r="214" spans="1:35" ht="16.5" x14ac:dyDescent="0.3">
      <c r="A214" s="28">
        <v>0</v>
      </c>
      <c r="B214" s="28"/>
      <c r="C214" s="19"/>
      <c r="D214" s="1">
        <f>MAX(D211:D213)+NoOne</f>
        <v>13</v>
      </c>
      <c r="E214" s="6" t="s">
        <v>130</v>
      </c>
      <c r="F214" s="23">
        <f>SUM(G214:V214)</f>
        <v>73763123.91142574</v>
      </c>
      <c r="G214" s="34">
        <v>26192126.014956877</v>
      </c>
      <c r="H214" s="34">
        <v>17878946.162485372</v>
      </c>
      <c r="I214" s="34">
        <v>20467072.815077223</v>
      </c>
      <c r="J214" s="34">
        <v>1882730.4847279727</v>
      </c>
      <c r="K214" s="34">
        <v>2212550.8593724938</v>
      </c>
      <c r="L214" s="34">
        <v>1969199.9637828623</v>
      </c>
      <c r="M214" s="34">
        <v>541367.34163658007</v>
      </c>
      <c r="N214" s="34">
        <v>191698.3087682802</v>
      </c>
      <c r="O214" s="34">
        <v>339321.93712723278</v>
      </c>
      <c r="P214" s="34">
        <v>273066.32048073696</v>
      </c>
      <c r="Q214" s="34">
        <v>312074.51170669938</v>
      </c>
      <c r="R214" s="34">
        <v>68433.906759614998</v>
      </c>
      <c r="S214" s="34">
        <v>256931.21561928498</v>
      </c>
      <c r="T214" s="34">
        <v>80976.745090515353</v>
      </c>
      <c r="U214" s="34">
        <v>121764.14632767755</v>
      </c>
      <c r="V214" s="34">
        <v>974863.17750631797</v>
      </c>
      <c r="X214" s="6"/>
      <c r="Y214" s="6"/>
      <c r="Z214" s="25"/>
      <c r="AA214" s="6"/>
      <c r="AB214" s="6"/>
      <c r="AC214" s="6" t="str">
        <f t="shared" si="38"/>
        <v>Return on Debt</v>
      </c>
      <c r="AD214" s="6"/>
      <c r="AE214" s="6" t="s">
        <v>584</v>
      </c>
      <c r="AF214" s="6"/>
      <c r="AG214" s="6"/>
      <c r="AH214" s="6"/>
      <c r="AI214" s="6"/>
    </row>
    <row r="215" spans="1:35" ht="16.5" x14ac:dyDescent="0.3">
      <c r="A215" s="28" t="s">
        <v>39</v>
      </c>
      <c r="B215" s="28"/>
      <c r="C215" s="19"/>
      <c r="D215" s="1" t="s">
        <v>39</v>
      </c>
      <c r="E215" s="6"/>
      <c r="F215" s="23" t="s">
        <v>39</v>
      </c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X215" s="6"/>
      <c r="Y215" s="6"/>
      <c r="Z215" s="6"/>
      <c r="AA215" s="6"/>
      <c r="AB215" s="6"/>
      <c r="AC215" s="6" t="str">
        <f t="shared" si="38"/>
        <v/>
      </c>
      <c r="AD215" s="6"/>
      <c r="AE215" s="6"/>
      <c r="AF215" s="6"/>
      <c r="AG215" s="6"/>
      <c r="AH215" s="6"/>
      <c r="AI215" s="6"/>
    </row>
    <row r="216" spans="1:35" ht="16.5" x14ac:dyDescent="0.3">
      <c r="A216" s="28">
        <v>0</v>
      </c>
      <c r="B216" s="28"/>
      <c r="C216" s="19"/>
      <c r="D216" s="1">
        <f>MAX(D213:D215)+NoOne</f>
        <v>14</v>
      </c>
      <c r="E216" s="6" t="s">
        <v>131</v>
      </c>
      <c r="F216" s="59">
        <f>SUM(G216:V216)</f>
        <v>45826259.705769487</v>
      </c>
      <c r="G216" s="61">
        <v>16272184.600654274</v>
      </c>
      <c r="H216" s="61">
        <v>11107518.047789916</v>
      </c>
      <c r="I216" s="61">
        <v>12715423.974815421</v>
      </c>
      <c r="J216" s="61">
        <v>1169669.7695818304</v>
      </c>
      <c r="K216" s="61">
        <v>1374574.7863875628</v>
      </c>
      <c r="L216" s="61">
        <v>1223390.0107222435</v>
      </c>
      <c r="M216" s="61">
        <v>336331.20560146339</v>
      </c>
      <c r="N216" s="61">
        <v>119094.96259026047</v>
      </c>
      <c r="O216" s="61">
        <v>210807.98087306492</v>
      </c>
      <c r="P216" s="61">
        <v>169645.8535877004</v>
      </c>
      <c r="Q216" s="61">
        <v>193880.17836927838</v>
      </c>
      <c r="R216" s="61">
        <v>42515.417156305666</v>
      </c>
      <c r="S216" s="61">
        <v>159621.71867377509</v>
      </c>
      <c r="T216" s="61">
        <v>50307.81173397466</v>
      </c>
      <c r="U216" s="61">
        <v>75647.492901248188</v>
      </c>
      <c r="V216" s="61">
        <v>605645.89433116768</v>
      </c>
      <c r="X216" s="6"/>
      <c r="Y216" s="6"/>
      <c r="Z216" s="25"/>
      <c r="AA216" s="6"/>
      <c r="AB216" s="6"/>
      <c r="AC216" s="6" t="str">
        <f t="shared" si="38"/>
        <v>Return on Equity</v>
      </c>
      <c r="AD216" s="6"/>
      <c r="AE216" s="6" t="s">
        <v>585</v>
      </c>
      <c r="AF216" s="6"/>
      <c r="AG216" s="6"/>
      <c r="AH216" s="6"/>
      <c r="AI216" s="6"/>
    </row>
    <row r="217" spans="1:35" ht="16.5" x14ac:dyDescent="0.3">
      <c r="A217" s="28"/>
      <c r="B217" s="28"/>
      <c r="C217" s="19"/>
      <c r="D217" s="1" t="s">
        <v>39</v>
      </c>
      <c r="E217" s="6"/>
      <c r="F217" s="23" t="s">
        <v>39</v>
      </c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X217" s="6"/>
      <c r="Y217" s="6"/>
      <c r="Z217" s="6"/>
      <c r="AA217" s="6"/>
      <c r="AB217" s="6"/>
      <c r="AC217" s="6" t="str">
        <f t="shared" si="38"/>
        <v/>
      </c>
      <c r="AD217" s="6"/>
      <c r="AE217" s="6"/>
      <c r="AF217" s="6"/>
      <c r="AG217" s="6"/>
      <c r="AH217" s="6"/>
      <c r="AI217" s="6"/>
    </row>
    <row r="218" spans="1:35" ht="17.25" thickBot="1" x14ac:dyDescent="0.35">
      <c r="A218" s="28">
        <f>SUM(F214:F216)-F218</f>
        <v>0</v>
      </c>
      <c r="B218" s="28"/>
      <c r="C218" s="19"/>
      <c r="D218" s="1">
        <f>MAX(D215:D217)+NoOne</f>
        <v>15</v>
      </c>
      <c r="E218" s="6" t="s">
        <v>132</v>
      </c>
      <c r="F218" s="60">
        <f>SUM(G218:V218)</f>
        <v>119589383.61719522</v>
      </c>
      <c r="G218" s="62">
        <f>SUM(G214:G216)</f>
        <v>42464310.615611151</v>
      </c>
      <c r="H218" s="62">
        <f>SUM(H214:H216)</f>
        <v>28986464.210275289</v>
      </c>
      <c r="I218" s="62">
        <f>SUM(I214:I216)</f>
        <v>33182496.789892644</v>
      </c>
      <c r="J218" s="62">
        <f t="shared" ref="J218:V218" si="47">SUM(J214:J216)</f>
        <v>3052400.2543098032</v>
      </c>
      <c r="K218" s="62">
        <f t="shared" si="47"/>
        <v>3587125.6457600566</v>
      </c>
      <c r="L218" s="62">
        <f t="shared" si="47"/>
        <v>3192589.974505106</v>
      </c>
      <c r="M218" s="62">
        <f t="shared" si="47"/>
        <v>877698.54723804351</v>
      </c>
      <c r="N218" s="62">
        <f t="shared" si="47"/>
        <v>310793.27135854069</v>
      </c>
      <c r="O218" s="62">
        <f t="shared" si="47"/>
        <v>550129.91800029774</v>
      </c>
      <c r="P218" s="62">
        <f t="shared" si="47"/>
        <v>442712.17406843737</v>
      </c>
      <c r="Q218" s="62">
        <f t="shared" si="47"/>
        <v>505954.69007597776</v>
      </c>
      <c r="R218" s="62">
        <f t="shared" si="47"/>
        <v>110949.32391592066</v>
      </c>
      <c r="S218" s="62">
        <f t="shared" si="47"/>
        <v>416552.9342930601</v>
      </c>
      <c r="T218" s="62">
        <f t="shared" si="47"/>
        <v>131284.55682449002</v>
      </c>
      <c r="U218" s="62">
        <f t="shared" si="47"/>
        <v>197411.63922892575</v>
      </c>
      <c r="V218" s="62">
        <f t="shared" si="47"/>
        <v>1580509.0718374858</v>
      </c>
      <c r="X218" s="6"/>
      <c r="Y218" s="6"/>
      <c r="Z218" s="25"/>
      <c r="AA218" s="6"/>
      <c r="AB218" s="6"/>
      <c r="AC218" s="6" t="str">
        <f t="shared" si="38"/>
        <v>Return on Rate Base</v>
      </c>
      <c r="AD218" s="6"/>
      <c r="AF218" s="6"/>
      <c r="AG218" s="6"/>
      <c r="AH218" s="6"/>
      <c r="AI218" s="6"/>
    </row>
    <row r="219" spans="1:35" ht="17.25" thickTop="1" x14ac:dyDescent="0.3">
      <c r="A219" s="28"/>
      <c r="B219" s="28"/>
      <c r="C219" s="19"/>
      <c r="D219" s="1"/>
      <c r="E219" s="6"/>
      <c r="F219" s="63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/>
      <c r="X219" s="6"/>
      <c r="Y219" s="6"/>
      <c r="Z219" s="25"/>
      <c r="AA219" s="6"/>
      <c r="AB219" s="6"/>
      <c r="AC219" s="6"/>
      <c r="AD219" s="6"/>
      <c r="AF219" s="6"/>
      <c r="AG219" s="6"/>
      <c r="AH219" s="6"/>
      <c r="AI219" s="6"/>
    </row>
    <row r="220" spans="1:35" ht="16.5" x14ac:dyDescent="0.3">
      <c r="A220" s="28"/>
      <c r="B220" s="28"/>
      <c r="C220" s="26"/>
      <c r="D220" s="1"/>
      <c r="E220" s="6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7" t="s">
        <v>490</v>
      </c>
      <c r="X220" s="6"/>
      <c r="Y220" s="6"/>
      <c r="Z220" s="6"/>
      <c r="AA220" s="6"/>
      <c r="AB220" s="6"/>
      <c r="AC220" s="6" t="str">
        <f t="shared" si="38"/>
        <v/>
      </c>
      <c r="AD220" s="6"/>
      <c r="AE220" s="6"/>
      <c r="AF220" s="6"/>
      <c r="AG220" s="6"/>
      <c r="AH220" s="6"/>
      <c r="AI220" s="7" t="s">
        <v>490</v>
      </c>
    </row>
    <row r="221" spans="1:35" ht="16.5" x14ac:dyDescent="0.3">
      <c r="A221" s="28"/>
      <c r="B221" s="28"/>
      <c r="C221" s="26"/>
      <c r="D221" s="1"/>
      <c r="E221" s="6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7" t="s">
        <v>3</v>
      </c>
      <c r="X221" s="6"/>
      <c r="Y221" s="6"/>
      <c r="Z221" s="6"/>
      <c r="AA221" s="6"/>
      <c r="AB221" s="6"/>
      <c r="AC221" s="6" t="str">
        <f t="shared" si="38"/>
        <v/>
      </c>
      <c r="AD221" s="6"/>
      <c r="AE221" s="6"/>
      <c r="AF221" s="6"/>
      <c r="AG221" s="6"/>
      <c r="AH221" s="6"/>
      <c r="AI221" s="7" t="s">
        <v>4</v>
      </c>
    </row>
    <row r="222" spans="1:35" ht="16.5" x14ac:dyDescent="0.3">
      <c r="A222" s="43"/>
      <c r="B222" s="43"/>
      <c r="C222" s="44"/>
      <c r="D222" s="8" t="str">
        <f>D5</f>
        <v>NEWFOUNDLAND AND LABRADOR HYDRO</v>
      </c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10"/>
      <c r="X222" s="6"/>
      <c r="Y222" s="6"/>
      <c r="AB222" s="9" t="s">
        <v>6</v>
      </c>
      <c r="AC222" s="10"/>
      <c r="AD222" s="9"/>
      <c r="AE222" s="9"/>
      <c r="AF222" s="9"/>
      <c r="AG222" s="9"/>
      <c r="AH222" s="11"/>
      <c r="AI222" s="11"/>
    </row>
    <row r="223" spans="1:35" ht="16.5" x14ac:dyDescent="0.3">
      <c r="A223" s="43"/>
      <c r="B223" s="43"/>
      <c r="C223" s="44"/>
      <c r="D223" s="8" t="str">
        <f>D6</f>
        <v>2027 Test Year Cost of Service Study (No Rate Mitigation)</v>
      </c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10"/>
      <c r="X223" s="6"/>
      <c r="Y223" s="6"/>
      <c r="AB223" s="9" t="str">
        <f>RunName</f>
        <v>2027 Test Year Cost of Service Study (No Rate Mitigation)</v>
      </c>
      <c r="AC223" s="10"/>
      <c r="AD223" s="9"/>
      <c r="AE223" s="9"/>
      <c r="AF223" s="9"/>
      <c r="AG223" s="9"/>
      <c r="AH223" s="11"/>
      <c r="AI223" s="11"/>
    </row>
    <row r="224" spans="1:35" ht="16.5" x14ac:dyDescent="0.3">
      <c r="A224" s="43"/>
      <c r="B224" s="43"/>
      <c r="C224" s="44"/>
      <c r="D224" s="8" t="str">
        <f>$B$1</f>
        <v>Island Interconnected</v>
      </c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10"/>
      <c r="X224" s="6"/>
      <c r="Y224" s="6"/>
      <c r="AB224" s="9" t="str">
        <f>$B$1</f>
        <v>Island Interconnected</v>
      </c>
      <c r="AC224" s="10"/>
      <c r="AD224" s="9"/>
      <c r="AE224" s="9"/>
      <c r="AF224" s="9"/>
      <c r="AG224" s="9"/>
      <c r="AH224" s="11"/>
      <c r="AI224" s="11"/>
    </row>
    <row r="225" spans="1:35" ht="16.5" x14ac:dyDescent="0.3">
      <c r="A225" s="43"/>
      <c r="B225" s="43"/>
      <c r="C225" s="44"/>
      <c r="D225" s="8" t="s">
        <v>134</v>
      </c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10"/>
      <c r="X225" s="6"/>
      <c r="Y225" s="6"/>
      <c r="AB225" s="9" t="str">
        <f>+D225&amp;" (CONT'D.)"</f>
        <v>Functional Classification of Operating &amp; Maintenance Expense (CONT'D.)</v>
      </c>
      <c r="AC225" s="10"/>
      <c r="AD225" s="9"/>
      <c r="AE225" s="9"/>
      <c r="AF225" s="9"/>
      <c r="AG225" s="9"/>
      <c r="AH225" s="11"/>
      <c r="AI225" s="11"/>
    </row>
    <row r="226" spans="1:35" ht="16.5" x14ac:dyDescent="0.3">
      <c r="A226" s="45"/>
      <c r="B226" s="45"/>
      <c r="C226" s="45"/>
      <c r="D226" s="1"/>
      <c r="E226" s="1">
        <f t="shared" ref="E226:V226" si="48">MAX(D226)+NoOne</f>
        <v>1</v>
      </c>
      <c r="F226" s="1">
        <f t="shared" si="48"/>
        <v>2</v>
      </c>
      <c r="G226" s="1">
        <f t="shared" si="48"/>
        <v>3</v>
      </c>
      <c r="H226" s="1">
        <f t="shared" si="48"/>
        <v>4</v>
      </c>
      <c r="I226" s="1">
        <f t="shared" si="48"/>
        <v>5</v>
      </c>
      <c r="J226" s="1">
        <f t="shared" si="48"/>
        <v>6</v>
      </c>
      <c r="K226" s="1">
        <f t="shared" si="48"/>
        <v>7</v>
      </c>
      <c r="L226" s="1">
        <f t="shared" si="48"/>
        <v>8</v>
      </c>
      <c r="M226" s="1">
        <f t="shared" si="48"/>
        <v>9</v>
      </c>
      <c r="N226" s="1">
        <f t="shared" si="48"/>
        <v>10</v>
      </c>
      <c r="O226" s="1">
        <f t="shared" si="48"/>
        <v>11</v>
      </c>
      <c r="P226" s="1">
        <f t="shared" si="48"/>
        <v>12</v>
      </c>
      <c r="Q226" s="1">
        <f t="shared" si="48"/>
        <v>13</v>
      </c>
      <c r="R226" s="1">
        <f t="shared" si="48"/>
        <v>14</v>
      </c>
      <c r="S226" s="1">
        <f t="shared" si="48"/>
        <v>15</v>
      </c>
      <c r="T226" s="1">
        <f t="shared" si="48"/>
        <v>16</v>
      </c>
      <c r="U226" s="1">
        <f t="shared" si="48"/>
        <v>17</v>
      </c>
      <c r="V226" s="1">
        <f t="shared" si="48"/>
        <v>18</v>
      </c>
      <c r="X226" s="6"/>
      <c r="Y226" s="6"/>
      <c r="Z226" s="6"/>
      <c r="AA226" s="6"/>
      <c r="AB226" s="6"/>
      <c r="AC226" s="1">
        <f>MAX(AB226)+NoOne</f>
        <v>1</v>
      </c>
      <c r="AD226" s="13"/>
      <c r="AE226" s="1">
        <f>MAX(V226)+NoOne</f>
        <v>19</v>
      </c>
      <c r="AF226" s="1">
        <f>MAX(AE226)+NoOne</f>
        <v>20</v>
      </c>
      <c r="AG226" s="13"/>
      <c r="AH226" s="1">
        <f>MAX(AF226)+NoOne</f>
        <v>21</v>
      </c>
      <c r="AI226" s="13"/>
    </row>
    <row r="227" spans="1:35" s="12" customFormat="1" ht="16.5" x14ac:dyDescent="0.3">
      <c r="A227" s="45"/>
      <c r="B227" s="45"/>
      <c r="C227" s="46"/>
      <c r="D227" s="1"/>
      <c r="E227" s="13"/>
      <c r="F227" s="25"/>
      <c r="G227" s="13"/>
      <c r="H227" s="13"/>
      <c r="I227" s="13"/>
      <c r="J227" s="13" t="s">
        <v>8</v>
      </c>
      <c r="K227" s="47" t="s">
        <v>9</v>
      </c>
      <c r="L227" s="47"/>
      <c r="M227" s="47"/>
      <c r="N227" s="47"/>
      <c r="O227" s="47"/>
      <c r="P227" s="47"/>
      <c r="Q227" s="47"/>
      <c r="R227" s="47"/>
      <c r="S227" s="47"/>
      <c r="T227" s="47"/>
      <c r="U227" s="23"/>
      <c r="V227" s="25" t="s">
        <v>10</v>
      </c>
      <c r="X227" s="13"/>
      <c r="Y227" s="13"/>
      <c r="Z227" s="13"/>
      <c r="AA227" s="13"/>
      <c r="AB227" s="13"/>
      <c r="AE227" s="65" t="s">
        <v>135</v>
      </c>
      <c r="AF227" s="66"/>
    </row>
    <row r="228" spans="1:35" s="12" customFormat="1" ht="16.5" x14ac:dyDescent="0.3">
      <c r="A228" s="45"/>
      <c r="B228" s="45"/>
      <c r="C228" s="46"/>
      <c r="D228" s="1" t="s">
        <v>14</v>
      </c>
      <c r="E228" s="13"/>
      <c r="F228" s="25" t="s">
        <v>15</v>
      </c>
      <c r="G228" s="13" t="s">
        <v>16</v>
      </c>
      <c r="H228" s="13" t="s">
        <v>16</v>
      </c>
      <c r="I228" s="13" t="s">
        <v>17</v>
      </c>
      <c r="J228" s="25" t="s">
        <v>17</v>
      </c>
      <c r="K228" s="25" t="s">
        <v>18</v>
      </c>
      <c r="L228" s="47" t="s">
        <v>19</v>
      </c>
      <c r="M228" s="47"/>
      <c r="N228" s="47" t="s">
        <v>20</v>
      </c>
      <c r="O228" s="47"/>
      <c r="P228" s="47" t="s">
        <v>21</v>
      </c>
      <c r="Q228" s="47"/>
      <c r="R228" s="48" t="s">
        <v>22</v>
      </c>
      <c r="S228" s="48" t="s">
        <v>23</v>
      </c>
      <c r="T228" s="49" t="s">
        <v>24</v>
      </c>
      <c r="U228" s="48" t="s">
        <v>25</v>
      </c>
      <c r="V228" s="25" t="s">
        <v>26</v>
      </c>
      <c r="X228" s="13"/>
      <c r="Y228" s="13"/>
      <c r="Z228" s="16"/>
      <c r="AA228" s="13"/>
      <c r="AB228" s="13"/>
      <c r="AC228" s="13"/>
      <c r="AD228" s="13"/>
      <c r="AE228" s="13" t="s">
        <v>136</v>
      </c>
      <c r="AF228" s="13" t="s">
        <v>137</v>
      </c>
      <c r="AG228" s="13"/>
      <c r="AH228" s="13"/>
      <c r="AI228" s="13"/>
    </row>
    <row r="229" spans="1:35" s="12" customFormat="1" ht="16.5" x14ac:dyDescent="0.3">
      <c r="A229" s="45"/>
      <c r="B229" s="45"/>
      <c r="C229" s="46"/>
      <c r="D229" s="1" t="s">
        <v>30</v>
      </c>
      <c r="E229" s="13" t="s">
        <v>31</v>
      </c>
      <c r="F229" s="25" t="s">
        <v>32</v>
      </c>
      <c r="G229" s="25" t="s">
        <v>33</v>
      </c>
      <c r="H229" s="25" t="s">
        <v>34</v>
      </c>
      <c r="I229" s="13" t="s">
        <v>33</v>
      </c>
      <c r="J229" s="25" t="s">
        <v>33</v>
      </c>
      <c r="K229" s="25" t="s">
        <v>33</v>
      </c>
      <c r="L229" s="25" t="s">
        <v>33</v>
      </c>
      <c r="M229" s="25" t="s">
        <v>35</v>
      </c>
      <c r="N229" s="25" t="s">
        <v>33</v>
      </c>
      <c r="O229" s="25" t="s">
        <v>35</v>
      </c>
      <c r="P229" s="25" t="s">
        <v>33</v>
      </c>
      <c r="Q229" s="25" t="s">
        <v>35</v>
      </c>
      <c r="R229" s="25" t="s">
        <v>35</v>
      </c>
      <c r="S229" s="25" t="s">
        <v>35</v>
      </c>
      <c r="T229" s="25" t="s">
        <v>35</v>
      </c>
      <c r="U229" s="25" t="s">
        <v>35</v>
      </c>
      <c r="V229" s="25" t="s">
        <v>35</v>
      </c>
      <c r="X229" s="13"/>
      <c r="Y229" s="13"/>
      <c r="Z229" s="16"/>
      <c r="AA229" s="13"/>
      <c r="AB229" s="13"/>
      <c r="AC229" s="13" t="s">
        <v>31</v>
      </c>
      <c r="AD229" s="13"/>
      <c r="AE229" s="13" t="s">
        <v>138</v>
      </c>
      <c r="AF229" s="13" t="s">
        <v>139</v>
      </c>
      <c r="AG229" s="13"/>
      <c r="AH229" s="17" t="s">
        <v>36</v>
      </c>
      <c r="AI229" s="13"/>
    </row>
    <row r="230" spans="1:35" s="12" customFormat="1" ht="16.5" x14ac:dyDescent="0.3">
      <c r="A230" s="45"/>
      <c r="B230" s="45"/>
      <c r="C230" s="46"/>
      <c r="D230" s="1"/>
      <c r="E230" s="20" t="s">
        <v>16</v>
      </c>
      <c r="F230" s="25" t="s">
        <v>37</v>
      </c>
      <c r="G230" s="25" t="s">
        <v>37</v>
      </c>
      <c r="H230" s="25" t="s">
        <v>37</v>
      </c>
      <c r="I230" s="13" t="s">
        <v>37</v>
      </c>
      <c r="J230" s="25" t="s">
        <v>37</v>
      </c>
      <c r="K230" s="25" t="s">
        <v>37</v>
      </c>
      <c r="L230" s="25" t="s">
        <v>37</v>
      </c>
      <c r="M230" s="25" t="s">
        <v>37</v>
      </c>
      <c r="N230" s="25" t="s">
        <v>37</v>
      </c>
      <c r="O230" s="25" t="s">
        <v>37</v>
      </c>
      <c r="P230" s="25" t="s">
        <v>37</v>
      </c>
      <c r="Q230" s="25" t="s">
        <v>37</v>
      </c>
      <c r="R230" s="25" t="s">
        <v>37</v>
      </c>
      <c r="S230" s="25" t="s">
        <v>37</v>
      </c>
      <c r="T230" s="25" t="s">
        <v>37</v>
      </c>
      <c r="U230" s="25" t="s">
        <v>37</v>
      </c>
      <c r="V230" s="25" t="s">
        <v>37</v>
      </c>
      <c r="X230" s="13"/>
      <c r="Y230" s="13"/>
      <c r="Z230" s="16"/>
      <c r="AA230" s="13"/>
      <c r="AB230" s="13"/>
      <c r="AC230" s="20" t="str">
        <f t="shared" ref="AC230:AC270" si="49">IF(ISBLANK(E230),"",E230)</f>
        <v>Production</v>
      </c>
      <c r="AD230" s="13"/>
      <c r="AF230" s="13"/>
      <c r="AG230" s="13"/>
      <c r="AH230" s="13"/>
      <c r="AI230" s="13"/>
    </row>
    <row r="231" spans="1:35" ht="16.5" x14ac:dyDescent="0.3">
      <c r="A231" s="28"/>
      <c r="B231" s="28"/>
      <c r="C231" s="26" t="s">
        <v>39</v>
      </c>
      <c r="D231" s="1">
        <f t="shared" ref="D231:D237" si="50">MAX(D228:D230)+NoOne</f>
        <v>1</v>
      </c>
      <c r="E231" s="6" t="s">
        <v>38</v>
      </c>
      <c r="F231" s="22">
        <v>15587945.276910448</v>
      </c>
      <c r="G231" s="22">
        <f>+G24/$F$24*$F$231</f>
        <v>7749190.9833792206</v>
      </c>
      <c r="H231" s="22">
        <f>+H24/$F$24*$F$231</f>
        <v>7838754.293531226</v>
      </c>
      <c r="I231" s="22">
        <v>0</v>
      </c>
      <c r="J231" s="22">
        <f>+J24/$F$24*$F$231</f>
        <v>0</v>
      </c>
      <c r="K231" s="22">
        <v>0</v>
      </c>
      <c r="L231" s="22">
        <v>0</v>
      </c>
      <c r="M231" s="22">
        <v>0</v>
      </c>
      <c r="N231" s="22">
        <v>0</v>
      </c>
      <c r="O231" s="22">
        <v>0</v>
      </c>
      <c r="P231" s="22">
        <v>0</v>
      </c>
      <c r="Q231" s="22">
        <v>0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X231" s="6"/>
      <c r="Y231" s="6"/>
      <c r="Z231" s="25"/>
      <c r="AA231" s="6"/>
      <c r="AB231" s="6"/>
      <c r="AC231" s="6" t="str">
        <f t="shared" si="49"/>
        <v>Hydraulic</v>
      </c>
      <c r="AD231" s="6"/>
      <c r="AE231" s="22">
        <v>0</v>
      </c>
      <c r="AF231" s="22">
        <v>0</v>
      </c>
      <c r="AG231" s="6"/>
      <c r="AH231" s="6" t="str">
        <f>+"Prorated on Hydraulic Plant in Service - Sch G 2.2 L."&amp;$D$24</f>
        <v>Prorated on Hydraulic Plant in Service - Sch G 2.2 L.10</v>
      </c>
      <c r="AI231" s="6"/>
    </row>
    <row r="232" spans="1:35" ht="16.5" x14ac:dyDescent="0.3">
      <c r="A232" s="28"/>
      <c r="B232" s="28"/>
      <c r="C232" s="26" t="s">
        <v>39</v>
      </c>
      <c r="D232" s="1">
        <f t="shared" si="50"/>
        <v>2</v>
      </c>
      <c r="E232" s="6" t="s">
        <v>140</v>
      </c>
      <c r="F232" s="22">
        <v>20137024.842946809</v>
      </c>
      <c r="G232" s="22">
        <f>+G25/$F$25*$F$232</f>
        <v>17889732.870473944</v>
      </c>
      <c r="H232" s="22">
        <f>+H25/$F$25*$F$232</f>
        <v>2247291.9724728637</v>
      </c>
      <c r="I232" s="22">
        <v>0</v>
      </c>
      <c r="J232" s="22">
        <v>0</v>
      </c>
      <c r="K232" s="22">
        <v>0</v>
      </c>
      <c r="L232" s="22">
        <v>0</v>
      </c>
      <c r="M232" s="22">
        <v>0</v>
      </c>
      <c r="N232" s="22">
        <v>0</v>
      </c>
      <c r="O232" s="22">
        <v>0</v>
      </c>
      <c r="P232" s="22">
        <v>0</v>
      </c>
      <c r="Q232" s="22">
        <v>0</v>
      </c>
      <c r="R232" s="22">
        <v>0</v>
      </c>
      <c r="S232" s="22">
        <v>0</v>
      </c>
      <c r="T232" s="22">
        <v>0</v>
      </c>
      <c r="U232" s="22">
        <v>0</v>
      </c>
      <c r="V232" s="22">
        <v>0</v>
      </c>
      <c r="X232" s="6"/>
      <c r="Y232" s="6"/>
      <c r="Z232" s="25"/>
      <c r="AA232" s="6"/>
      <c r="AB232" s="6"/>
      <c r="AC232" s="6" t="str">
        <f t="shared" si="49"/>
        <v>Holyrood / Thermal</v>
      </c>
      <c r="AD232" s="6"/>
      <c r="AE232" s="22">
        <v>0</v>
      </c>
      <c r="AF232" s="22">
        <v>0</v>
      </c>
      <c r="AG232" s="6"/>
      <c r="AH232" s="6" t="str">
        <f>+"Prorated on Holyrood Plant in Service - Sch G 2.2 L."&amp;$D$25</f>
        <v>Prorated on Holyrood Plant in Service - Sch G 2.2 L.11</v>
      </c>
      <c r="AI232" s="6"/>
    </row>
    <row r="233" spans="1:35" ht="16.5" x14ac:dyDescent="0.3">
      <c r="A233" s="28"/>
      <c r="B233" s="28"/>
      <c r="C233" s="26" t="s">
        <v>39</v>
      </c>
      <c r="D233" s="1">
        <f t="shared" si="50"/>
        <v>3</v>
      </c>
      <c r="E233" s="6" t="s">
        <v>64</v>
      </c>
      <c r="F233" s="22">
        <v>0</v>
      </c>
      <c r="G233" s="22">
        <v>0</v>
      </c>
      <c r="H233" s="22">
        <v>0</v>
      </c>
      <c r="I233" s="22">
        <v>0</v>
      </c>
      <c r="J233" s="22">
        <v>0</v>
      </c>
      <c r="K233" s="22">
        <v>0</v>
      </c>
      <c r="L233" s="22">
        <v>0</v>
      </c>
      <c r="M233" s="22">
        <v>0</v>
      </c>
      <c r="N233" s="22">
        <v>0</v>
      </c>
      <c r="O233" s="22">
        <v>0</v>
      </c>
      <c r="P233" s="22">
        <v>0</v>
      </c>
      <c r="Q233" s="22">
        <v>0</v>
      </c>
      <c r="R233" s="22">
        <v>0</v>
      </c>
      <c r="S233" s="22">
        <v>0</v>
      </c>
      <c r="T233" s="22">
        <v>0</v>
      </c>
      <c r="U233" s="22">
        <v>0</v>
      </c>
      <c r="V233" s="22">
        <v>0</v>
      </c>
      <c r="X233" s="6"/>
      <c r="Y233" s="6"/>
      <c r="Z233" s="25"/>
      <c r="AA233" s="6"/>
      <c r="AB233" s="6"/>
      <c r="AC233" s="6" t="str">
        <f t="shared" si="49"/>
        <v>Roddickton</v>
      </c>
      <c r="AD233" s="6"/>
      <c r="AE233" s="22">
        <v>0</v>
      </c>
      <c r="AF233" s="22">
        <v>0</v>
      </c>
      <c r="AG233" s="6"/>
      <c r="AH233" s="6" t="str">
        <f>+"Prorated on Roddickton Plant in Service - Sch G 2.2 L."&amp;$D$27</f>
        <v>Prorated on Roddickton Plant in Service - Sch G 2.2 L.13</v>
      </c>
      <c r="AI233" s="6"/>
    </row>
    <row r="234" spans="1:35" ht="16.5" x14ac:dyDescent="0.3">
      <c r="A234" s="28"/>
      <c r="B234" s="28"/>
      <c r="C234" s="26"/>
      <c r="D234" s="1">
        <f t="shared" si="50"/>
        <v>4</v>
      </c>
      <c r="E234" s="6" t="s">
        <v>141</v>
      </c>
      <c r="F234" s="22">
        <v>4183851.0652876822</v>
      </c>
      <c r="G234" s="22">
        <f t="shared" ref="G234:V234" si="51">(G26/$F$26)*$F234</f>
        <v>4183851.0652876822</v>
      </c>
      <c r="H234" s="22">
        <f t="shared" si="51"/>
        <v>0</v>
      </c>
      <c r="I234" s="22">
        <f t="shared" si="51"/>
        <v>0</v>
      </c>
      <c r="J234" s="22">
        <f t="shared" si="51"/>
        <v>0</v>
      </c>
      <c r="K234" s="22">
        <f t="shared" si="51"/>
        <v>0</v>
      </c>
      <c r="L234" s="22">
        <f t="shared" si="51"/>
        <v>0</v>
      </c>
      <c r="M234" s="22">
        <f t="shared" si="51"/>
        <v>0</v>
      </c>
      <c r="N234" s="22">
        <f t="shared" si="51"/>
        <v>0</v>
      </c>
      <c r="O234" s="22">
        <f t="shared" si="51"/>
        <v>0</v>
      </c>
      <c r="P234" s="22">
        <f t="shared" si="51"/>
        <v>0</v>
      </c>
      <c r="Q234" s="22">
        <f t="shared" si="51"/>
        <v>0</v>
      </c>
      <c r="R234" s="22">
        <f t="shared" si="51"/>
        <v>0</v>
      </c>
      <c r="S234" s="22">
        <f t="shared" si="51"/>
        <v>0</v>
      </c>
      <c r="T234" s="22">
        <f t="shared" si="51"/>
        <v>0</v>
      </c>
      <c r="U234" s="22">
        <f t="shared" si="51"/>
        <v>0</v>
      </c>
      <c r="V234" s="22">
        <f t="shared" si="51"/>
        <v>0</v>
      </c>
      <c r="X234" s="6"/>
      <c r="Y234" s="6"/>
      <c r="Z234" s="25"/>
      <c r="AA234" s="6"/>
      <c r="AB234" s="6"/>
      <c r="AC234" s="6" t="str">
        <f t="shared" si="49"/>
        <v>Gas Turbine</v>
      </c>
      <c r="AD234" s="6"/>
      <c r="AE234" s="22">
        <v>0</v>
      </c>
      <c r="AF234" s="22">
        <v>0</v>
      </c>
      <c r="AG234" s="6"/>
      <c r="AH234" s="6" t="str">
        <f>+"Prorated on Gas Turbines Plant in Service - Sch G 2.2 L."&amp;$D$26</f>
        <v>Prorated on Gas Turbines Plant in Service - Sch G 2.2 L.12</v>
      </c>
      <c r="AI234" s="6"/>
    </row>
    <row r="235" spans="1:35" ht="16.5" x14ac:dyDescent="0.3">
      <c r="A235" s="28"/>
      <c r="B235" s="28"/>
      <c r="C235" s="26" t="s">
        <v>39</v>
      </c>
      <c r="D235" s="1">
        <f t="shared" si="50"/>
        <v>5</v>
      </c>
      <c r="E235" s="6" t="s">
        <v>65</v>
      </c>
      <c r="F235" s="22">
        <v>322873.40899999999</v>
      </c>
      <c r="G235" s="22">
        <f t="shared" ref="G235:V235" si="52">(G28/$F$28)*$F$235</f>
        <v>322873.40899999999</v>
      </c>
      <c r="H235" s="22">
        <f t="shared" si="52"/>
        <v>0</v>
      </c>
      <c r="I235" s="22">
        <f t="shared" si="52"/>
        <v>0</v>
      </c>
      <c r="J235" s="22">
        <f t="shared" si="52"/>
        <v>0</v>
      </c>
      <c r="K235" s="22">
        <f t="shared" si="52"/>
        <v>0</v>
      </c>
      <c r="L235" s="22">
        <f t="shared" si="52"/>
        <v>0</v>
      </c>
      <c r="M235" s="22">
        <f t="shared" si="52"/>
        <v>0</v>
      </c>
      <c r="N235" s="22">
        <f t="shared" si="52"/>
        <v>0</v>
      </c>
      <c r="O235" s="22">
        <f t="shared" si="52"/>
        <v>0</v>
      </c>
      <c r="P235" s="22">
        <f t="shared" si="52"/>
        <v>0</v>
      </c>
      <c r="Q235" s="22">
        <f t="shared" si="52"/>
        <v>0</v>
      </c>
      <c r="R235" s="22">
        <f t="shared" si="52"/>
        <v>0</v>
      </c>
      <c r="S235" s="22">
        <f t="shared" si="52"/>
        <v>0</v>
      </c>
      <c r="T235" s="22">
        <f t="shared" si="52"/>
        <v>0</v>
      </c>
      <c r="U235" s="22">
        <f t="shared" si="52"/>
        <v>0</v>
      </c>
      <c r="V235" s="22">
        <f t="shared" si="52"/>
        <v>0</v>
      </c>
      <c r="X235" s="6"/>
      <c r="Y235" s="6"/>
      <c r="Z235" s="25"/>
      <c r="AA235" s="6"/>
      <c r="AB235" s="6"/>
      <c r="AC235" s="6" t="str">
        <f t="shared" si="49"/>
        <v>Diesel</v>
      </c>
      <c r="AD235" s="6"/>
      <c r="AE235" s="22">
        <v>0</v>
      </c>
      <c r="AF235" s="22">
        <v>0</v>
      </c>
      <c r="AG235" s="6"/>
      <c r="AH235" s="6" t="str">
        <f>+"Prorated on Diesel Plant in Service - Sch G 2.2 L."&amp;$D$28</f>
        <v>Prorated on Diesel Plant in Service - Sch G 2.2 L.14</v>
      </c>
      <c r="AI235" s="6"/>
    </row>
    <row r="236" spans="1:35" ht="16.5" x14ac:dyDescent="0.3">
      <c r="A236" s="28"/>
      <c r="B236" s="28"/>
      <c r="C236" s="26"/>
      <c r="D236" s="1">
        <f t="shared" si="50"/>
        <v>6</v>
      </c>
      <c r="E236" s="6" t="s">
        <v>142</v>
      </c>
      <c r="F236" s="22">
        <v>715584.40785000008</v>
      </c>
      <c r="G236" s="22">
        <f t="shared" ref="G236:V236" si="53">(G29/$F29)*$F$236</f>
        <v>468186.03675796831</v>
      </c>
      <c r="H236" s="22">
        <f t="shared" si="53"/>
        <v>247398.37109203162</v>
      </c>
      <c r="I236" s="22">
        <f t="shared" si="53"/>
        <v>0</v>
      </c>
      <c r="J236" s="22">
        <f t="shared" si="53"/>
        <v>0</v>
      </c>
      <c r="K236" s="22">
        <f t="shared" si="53"/>
        <v>0</v>
      </c>
      <c r="L236" s="22">
        <f t="shared" si="53"/>
        <v>0</v>
      </c>
      <c r="M236" s="22">
        <f t="shared" si="53"/>
        <v>0</v>
      </c>
      <c r="N236" s="22">
        <f t="shared" si="53"/>
        <v>0</v>
      </c>
      <c r="O236" s="22">
        <f t="shared" si="53"/>
        <v>0</v>
      </c>
      <c r="P236" s="22">
        <f t="shared" si="53"/>
        <v>0</v>
      </c>
      <c r="Q236" s="22">
        <f t="shared" si="53"/>
        <v>0</v>
      </c>
      <c r="R236" s="22">
        <f t="shared" si="53"/>
        <v>0</v>
      </c>
      <c r="S236" s="22">
        <f t="shared" si="53"/>
        <v>0</v>
      </c>
      <c r="T236" s="22">
        <f t="shared" si="53"/>
        <v>0</v>
      </c>
      <c r="U236" s="22">
        <f t="shared" si="53"/>
        <v>0</v>
      </c>
      <c r="V236" s="22">
        <f t="shared" si="53"/>
        <v>0</v>
      </c>
      <c r="X236" s="6"/>
      <c r="Y236" s="6"/>
      <c r="Z236" s="25"/>
      <c r="AA236" s="6"/>
      <c r="AB236" s="6"/>
      <c r="AC236" s="1" t="str">
        <f t="shared" si="49"/>
        <v>Other</v>
      </c>
      <c r="AD236" s="6"/>
      <c r="AE236" s="22">
        <v>0</v>
      </c>
      <c r="AF236" s="22">
        <v>0</v>
      </c>
      <c r="AG236" s="6"/>
      <c r="AH236" s="6" t="str">
        <f>+"Prorated on Production Plant in Service - Sch G 2.2 L."&amp;$D$29</f>
        <v>Prorated on Production Plant in Service - Sch G 2.2 L.15</v>
      </c>
      <c r="AI236" s="6"/>
    </row>
    <row r="237" spans="1:35" ht="16.5" x14ac:dyDescent="0.3">
      <c r="A237" s="28">
        <f>SUM(G237:AF237)-F237</f>
        <v>0</v>
      </c>
      <c r="B237" s="28"/>
      <c r="C237" s="29" t="s">
        <v>39</v>
      </c>
      <c r="D237" s="1">
        <f t="shared" si="50"/>
        <v>7</v>
      </c>
      <c r="E237" s="20" t="s">
        <v>66</v>
      </c>
      <c r="F237" s="30">
        <f>SUM(F231:F236)</f>
        <v>40947279.001994938</v>
      </c>
      <c r="G237" s="30">
        <f>SUM(G231:G236)</f>
        <v>30613834.364898816</v>
      </c>
      <c r="H237" s="30">
        <f>SUM(H231:H236)</f>
        <v>10333444.63709612</v>
      </c>
      <c r="I237" s="30">
        <f>SUM(I231:I236)</f>
        <v>0</v>
      </c>
      <c r="J237" s="30">
        <f t="shared" ref="J237:V237" si="54">SUM(J231:J236)</f>
        <v>0</v>
      </c>
      <c r="K237" s="30">
        <f t="shared" si="54"/>
        <v>0</v>
      </c>
      <c r="L237" s="30">
        <f t="shared" si="54"/>
        <v>0</v>
      </c>
      <c r="M237" s="30">
        <f t="shared" si="54"/>
        <v>0</v>
      </c>
      <c r="N237" s="30">
        <f t="shared" si="54"/>
        <v>0</v>
      </c>
      <c r="O237" s="30">
        <f t="shared" si="54"/>
        <v>0</v>
      </c>
      <c r="P237" s="30">
        <f t="shared" si="54"/>
        <v>0</v>
      </c>
      <c r="Q237" s="30">
        <f t="shared" si="54"/>
        <v>0</v>
      </c>
      <c r="R237" s="30">
        <f t="shared" si="54"/>
        <v>0</v>
      </c>
      <c r="S237" s="30">
        <f t="shared" si="54"/>
        <v>0</v>
      </c>
      <c r="T237" s="30">
        <f t="shared" si="54"/>
        <v>0</v>
      </c>
      <c r="U237" s="30">
        <f t="shared" si="54"/>
        <v>0</v>
      </c>
      <c r="V237" s="30">
        <f t="shared" si="54"/>
        <v>0</v>
      </c>
      <c r="X237" s="6"/>
      <c r="Y237" s="6"/>
      <c r="Z237" s="25"/>
      <c r="AA237" s="6"/>
      <c r="AB237" s="6"/>
      <c r="AC237" s="20" t="str">
        <f t="shared" si="49"/>
        <v>Subtotal Production</v>
      </c>
      <c r="AD237" s="6"/>
      <c r="AE237" s="30">
        <f>SUM(AE231:AE236)</f>
        <v>0</v>
      </c>
      <c r="AF237" s="30">
        <f>SUM(AF231:AF236)</f>
        <v>0</v>
      </c>
      <c r="AG237" s="6"/>
      <c r="AH237" s="6"/>
      <c r="AI237" s="6"/>
    </row>
    <row r="238" spans="1:35" ht="11.25" customHeight="1" x14ac:dyDescent="0.3">
      <c r="A238" s="28"/>
      <c r="B238" s="28"/>
      <c r="C238" s="26"/>
      <c r="D238" s="1"/>
      <c r="E238" s="6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X238" s="6"/>
      <c r="Y238" s="6"/>
      <c r="Z238" s="16"/>
      <c r="AA238" s="6"/>
      <c r="AB238" s="6"/>
      <c r="AC238" s="6" t="str">
        <f t="shared" si="49"/>
        <v/>
      </c>
      <c r="AD238" s="6"/>
      <c r="AE238" s="22"/>
      <c r="AF238" s="22"/>
      <c r="AG238" s="6"/>
      <c r="AH238" s="6"/>
      <c r="AI238" s="6"/>
    </row>
    <row r="239" spans="1:35" ht="16.5" x14ac:dyDescent="0.3">
      <c r="A239" s="28"/>
      <c r="B239" s="28"/>
      <c r="C239" s="26"/>
      <c r="D239" s="1"/>
      <c r="E239" s="20" t="s">
        <v>17</v>
      </c>
      <c r="F239" s="67">
        <f>SUM(F240:F241)/SUM(F242,F258)</f>
        <v>0.49307291530328817</v>
      </c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X239" s="6"/>
      <c r="Y239" s="6"/>
      <c r="Z239" s="16"/>
      <c r="AA239" s="6"/>
      <c r="AB239" s="6"/>
      <c r="AC239" s="20" t="str">
        <f t="shared" si="49"/>
        <v>Transmission</v>
      </c>
      <c r="AD239" s="6"/>
      <c r="AE239" s="22"/>
      <c r="AF239" s="22"/>
      <c r="AG239" s="6"/>
      <c r="AH239" s="6"/>
      <c r="AI239" s="6"/>
    </row>
    <row r="240" spans="1:35" ht="16.5" x14ac:dyDescent="0.3">
      <c r="A240" s="28"/>
      <c r="B240" s="28"/>
      <c r="C240" s="26" t="s">
        <v>39</v>
      </c>
      <c r="D240" s="1">
        <f>MAX(D237:D239)+NoOne</f>
        <v>8</v>
      </c>
      <c r="E240" s="6" t="s">
        <v>143</v>
      </c>
      <c r="F240" s="22">
        <v>2078728.8285692234</v>
      </c>
      <c r="G240" s="22">
        <f>IF(IndexPlant=1,$F240*G31/$F$31,(($F240-V240)*G31/($F$31-$V$31)))</f>
        <v>54796.455093052449</v>
      </c>
      <c r="H240" s="22">
        <f>IF(IndexPlant=1,$F240*H31/F31,($F240-$V$240)*H31/($F$31-$V$31))</f>
        <v>55429.779515338058</v>
      </c>
      <c r="I240" s="22">
        <v>1662675.4615236891</v>
      </c>
      <c r="J240" s="22">
        <f>IF(IndexPlant=1,$F240*J31/$F$31,($F240-V240)*J31/($F$31-V31))</f>
        <v>305827.13243714382</v>
      </c>
      <c r="K240" s="22">
        <f t="shared" ref="K240:U240" si="55">$F240*K31/$F$31</f>
        <v>0</v>
      </c>
      <c r="L240" s="22">
        <f t="shared" si="55"/>
        <v>0</v>
      </c>
      <c r="M240" s="22">
        <f t="shared" si="55"/>
        <v>0</v>
      </c>
      <c r="N240" s="22">
        <f t="shared" si="55"/>
        <v>0</v>
      </c>
      <c r="O240" s="22">
        <f t="shared" si="55"/>
        <v>0</v>
      </c>
      <c r="P240" s="22">
        <f t="shared" si="55"/>
        <v>0</v>
      </c>
      <c r="Q240" s="22">
        <f t="shared" si="55"/>
        <v>0</v>
      </c>
      <c r="R240" s="22">
        <f t="shared" si="55"/>
        <v>0</v>
      </c>
      <c r="S240" s="22">
        <f t="shared" si="55"/>
        <v>0</v>
      </c>
      <c r="T240" s="22">
        <f t="shared" si="55"/>
        <v>0</v>
      </c>
      <c r="U240" s="22">
        <f t="shared" si="55"/>
        <v>0</v>
      </c>
      <c r="V240" s="22">
        <v>0</v>
      </c>
      <c r="X240" s="6"/>
      <c r="Y240" s="6"/>
      <c r="Z240" s="25"/>
      <c r="AA240" s="6"/>
      <c r="AB240" s="6"/>
      <c r="AC240" s="6" t="str">
        <f t="shared" si="49"/>
        <v>Transmission Lines</v>
      </c>
      <c r="AD240" s="6"/>
      <c r="AE240" s="22">
        <v>0</v>
      </c>
      <c r="AF240" s="22">
        <v>0</v>
      </c>
      <c r="AG240" s="6"/>
      <c r="AH240" s="6" t="str">
        <f>IF(IndexPlant=1,"Prorated on Transmission Lines Plant in Service - Sch G 2.2 L."&amp;$D$31&amp;" (C5 &amp; 18 then prorated on indexed plant).","Prorated on Transmission Lines Plant in Service - Sch G 2.2 L."&amp;$D$31)</f>
        <v>Prorated on Transmission Lines Plant in Service - Sch G 2.2 L.16</v>
      </c>
      <c r="AI240" s="6"/>
    </row>
    <row r="241" spans="1:35" ht="16.5" x14ac:dyDescent="0.3">
      <c r="A241" s="28"/>
      <c r="B241" s="28"/>
      <c r="C241" s="26"/>
      <c r="D241" s="1">
        <f>MAX(D238:D240)+NoOne</f>
        <v>9</v>
      </c>
      <c r="E241" s="6" t="s">
        <v>113</v>
      </c>
      <c r="F241" s="34">
        <v>5948513.9228496226</v>
      </c>
      <c r="G241" s="34">
        <f>IF(IndexPlant=1,$F241*(G37/SUM($G$37:$V$37)),($F241-$V241)*(G37/(SUM($G$37:$V$37)-V37)))</f>
        <v>549182.54504583997</v>
      </c>
      <c r="H241" s="34">
        <f>IF(IndexPlant=1,$F241*(H37/SUM($G$37:$V$37)),($F241-$V241)*(H37/(SUM($G$37:$V$37)-V37)))</f>
        <v>386017.81969143351</v>
      </c>
      <c r="I241" s="34">
        <v>4058593.0361370519</v>
      </c>
      <c r="J241" s="34">
        <f>IF(IndexPlant=1,$F241*(J37/SUM($G$37:$V$37)),($F241-$V241)*(J37/(SUM($G$37:$V$37)-V37)))</f>
        <v>392439.1390176561</v>
      </c>
      <c r="K241" s="34">
        <f>IF(IndexPlant=1,$F241*(K37/SUM($G$37:$V$37)),($F241-$V$241)*(K37/(SUM($G$37:$V$37)-V37)))</f>
        <v>252670.19295764048</v>
      </c>
      <c r="L241" s="34">
        <f t="shared" ref="L241:U241" si="56">$F241*(L37/SUM($G$37:$V$37))</f>
        <v>0</v>
      </c>
      <c r="M241" s="34">
        <f t="shared" si="56"/>
        <v>0</v>
      </c>
      <c r="N241" s="34">
        <f t="shared" si="56"/>
        <v>0</v>
      </c>
      <c r="O241" s="34">
        <f t="shared" si="56"/>
        <v>0</v>
      </c>
      <c r="P241" s="34">
        <f t="shared" si="56"/>
        <v>0</v>
      </c>
      <c r="Q241" s="34">
        <f t="shared" si="56"/>
        <v>0</v>
      </c>
      <c r="R241" s="34">
        <f t="shared" si="56"/>
        <v>0</v>
      </c>
      <c r="S241" s="34">
        <f t="shared" si="56"/>
        <v>0</v>
      </c>
      <c r="T241" s="34">
        <f t="shared" si="56"/>
        <v>0</v>
      </c>
      <c r="U241" s="34">
        <f t="shared" si="56"/>
        <v>0</v>
      </c>
      <c r="V241" s="34">
        <v>309611.19</v>
      </c>
      <c r="X241" s="6"/>
      <c r="Y241" s="6"/>
      <c r="Z241" s="25"/>
      <c r="AA241" s="6"/>
      <c r="AB241" s="6"/>
      <c r="AC241" s="6" t="str">
        <f t="shared" si="49"/>
        <v>Terminal Stations</v>
      </c>
      <c r="AD241" s="6"/>
      <c r="AE241" s="34">
        <v>0</v>
      </c>
      <c r="AF241" s="34">
        <v>0</v>
      </c>
      <c r="AG241" s="6"/>
      <c r="AH241" s="6" t="str">
        <f>IF(IndexPlant=1,"Prorated on Terminal Stations Plant in Service - Sch G 2.2 L."&amp;$D$37&amp;" (C5 &amp; 18 then prorated on indexed plant).","Prorated on Terminal Stations Plant in Service - Sch G 2.2 L."&amp;$D$37)</f>
        <v>Prorated on Terminal Stations Plant in Service - Sch G 2.2 L.22</v>
      </c>
      <c r="AI241" s="6"/>
    </row>
    <row r="242" spans="1:35" ht="16.5" x14ac:dyDescent="0.3">
      <c r="A242" s="28"/>
      <c r="B242" s="28"/>
      <c r="C242" s="26"/>
      <c r="D242" s="1">
        <f>MAX(D239:D241)+NoOne</f>
        <v>10</v>
      </c>
      <c r="E242" s="6" t="s">
        <v>142</v>
      </c>
      <c r="F242" s="34">
        <v>10784473.6905</v>
      </c>
      <c r="G242" s="34">
        <f>IF(IndexPlant=1,$F242*(G38/$F38),($F242-V242)*(G38/($F38-V38)))</f>
        <v>581624.26793803647</v>
      </c>
      <c r="H242" s="34">
        <f>IF(IndexPlant=1,$F242*(H38/$F38),($F242-$V242)*(H38/($F38-$V38)))</f>
        <v>460022.23991181422</v>
      </c>
      <c r="I242" s="34">
        <v>8105734.2709972691</v>
      </c>
      <c r="J242" s="34">
        <f>IF(IndexPlant=1,$F242*(J38/$F38),($F242-$V242)*(J38/($F38-$V38)))</f>
        <v>1222892.2066857864</v>
      </c>
      <c r="K242" s="34">
        <f>IF(IndexPlant=1,$F242*(K38/$F38),($F242-$V242)*(K38/($F38-V38)))</f>
        <v>191276.82703392438</v>
      </c>
      <c r="L242" s="34">
        <f t="shared" ref="L242:U242" si="57">$F242*(L38/$F38)</f>
        <v>0</v>
      </c>
      <c r="M242" s="34">
        <f t="shared" si="57"/>
        <v>0</v>
      </c>
      <c r="N242" s="34">
        <f t="shared" si="57"/>
        <v>0</v>
      </c>
      <c r="O242" s="34">
        <f t="shared" si="57"/>
        <v>0</v>
      </c>
      <c r="P242" s="34">
        <f t="shared" si="57"/>
        <v>0</v>
      </c>
      <c r="Q242" s="34">
        <f t="shared" si="57"/>
        <v>0</v>
      </c>
      <c r="R242" s="34">
        <f t="shared" si="57"/>
        <v>0</v>
      </c>
      <c r="S242" s="34">
        <f t="shared" si="57"/>
        <v>0</v>
      </c>
      <c r="T242" s="34">
        <f t="shared" si="57"/>
        <v>0</v>
      </c>
      <c r="U242" s="34">
        <f t="shared" si="57"/>
        <v>0</v>
      </c>
      <c r="V242" s="34">
        <v>222923.87793316945</v>
      </c>
      <c r="X242" s="6"/>
      <c r="Y242" s="6"/>
      <c r="Z242" s="25"/>
      <c r="AA242" s="6"/>
      <c r="AB242" s="6"/>
      <c r="AC242" s="6" t="str">
        <f t="shared" si="49"/>
        <v>Other</v>
      </c>
      <c r="AD242" s="6"/>
      <c r="AE242" s="34">
        <v>0</v>
      </c>
      <c r="AF242" s="34">
        <v>0</v>
      </c>
      <c r="AG242" s="6"/>
      <c r="AH242" s="6" t="str">
        <f>IF(IndexPlant=1,"Prorated on Transmission Plant in Service - Sch G 2.2 L."&amp;$D$38&amp;" (C5 &amp; 18 then prorated on indexed plant).","Prorated on Transmission Plant in Service - Sch G 2.2 L."&amp;$D$38)</f>
        <v>Prorated on Transmission Plant in Service - Sch G 2.2 L.23</v>
      </c>
      <c r="AI242" s="6"/>
    </row>
    <row r="243" spans="1:35" ht="16.5" x14ac:dyDescent="0.3">
      <c r="A243" s="28">
        <f>SUM(G243:AF243)-F243</f>
        <v>0</v>
      </c>
      <c r="B243" s="28"/>
      <c r="C243" s="29" t="s">
        <v>39</v>
      </c>
      <c r="D243" s="1">
        <f>MAX(D240:D242)+NoOne</f>
        <v>11</v>
      </c>
      <c r="E243" s="20" t="s">
        <v>77</v>
      </c>
      <c r="F243" s="30">
        <f t="shared" ref="F243:V243" si="58">SUM(F240:F242)</f>
        <v>18811716.441918846</v>
      </c>
      <c r="G243" s="30">
        <f t="shared" si="58"/>
        <v>1185603.2680769288</v>
      </c>
      <c r="H243" s="30">
        <f t="shared" si="58"/>
        <v>901469.83911858581</v>
      </c>
      <c r="I243" s="30">
        <f t="shared" si="58"/>
        <v>13827002.76865801</v>
      </c>
      <c r="J243" s="30">
        <f t="shared" si="58"/>
        <v>1921158.4781405863</v>
      </c>
      <c r="K243" s="30">
        <f t="shared" si="58"/>
        <v>443947.01999156486</v>
      </c>
      <c r="L243" s="30">
        <f t="shared" si="58"/>
        <v>0</v>
      </c>
      <c r="M243" s="30">
        <f t="shared" si="58"/>
        <v>0</v>
      </c>
      <c r="N243" s="30">
        <f t="shared" si="58"/>
        <v>0</v>
      </c>
      <c r="O243" s="30">
        <f t="shared" si="58"/>
        <v>0</v>
      </c>
      <c r="P243" s="30">
        <f t="shared" si="58"/>
        <v>0</v>
      </c>
      <c r="Q243" s="30">
        <f t="shared" si="58"/>
        <v>0</v>
      </c>
      <c r="R243" s="30">
        <f t="shared" si="58"/>
        <v>0</v>
      </c>
      <c r="S243" s="30">
        <f t="shared" si="58"/>
        <v>0</v>
      </c>
      <c r="T243" s="30">
        <f t="shared" si="58"/>
        <v>0</v>
      </c>
      <c r="U243" s="30">
        <f t="shared" si="58"/>
        <v>0</v>
      </c>
      <c r="V243" s="30">
        <f t="shared" si="58"/>
        <v>532535.06793316943</v>
      </c>
      <c r="W243" s="68"/>
      <c r="X243" s="6"/>
      <c r="Y243" s="6"/>
      <c r="Z243" s="25"/>
      <c r="AA243" s="6"/>
      <c r="AB243" s="6"/>
      <c r="AC243" s="20" t="str">
        <f t="shared" si="49"/>
        <v>Subtotal Transmission</v>
      </c>
      <c r="AD243" s="6"/>
      <c r="AE243" s="30">
        <f>SUM(AE240:AE242)</f>
        <v>0</v>
      </c>
      <c r="AF243" s="30">
        <f>SUM(AF240:AF242)</f>
        <v>0</v>
      </c>
      <c r="AG243" s="6"/>
      <c r="AH243" s="6"/>
      <c r="AI243" s="6"/>
    </row>
    <row r="244" spans="1:35" ht="10.5" customHeight="1" x14ac:dyDescent="0.3">
      <c r="A244" s="28"/>
      <c r="B244" s="28"/>
      <c r="C244" s="26"/>
      <c r="D244" s="1"/>
      <c r="E244" s="6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X244" s="6"/>
      <c r="Y244" s="6"/>
      <c r="Z244" s="16"/>
      <c r="AA244" s="6"/>
      <c r="AB244" s="6"/>
      <c r="AC244" s="6" t="str">
        <f t="shared" si="49"/>
        <v/>
      </c>
      <c r="AD244" s="6"/>
      <c r="AE244" s="22"/>
      <c r="AF244" s="22"/>
      <c r="AG244" s="6"/>
      <c r="AH244" s="6"/>
      <c r="AI244" s="6"/>
    </row>
    <row r="245" spans="1:35" ht="16.5" x14ac:dyDescent="0.3">
      <c r="A245" s="28"/>
      <c r="B245" s="28"/>
      <c r="C245" s="26"/>
      <c r="D245" s="1"/>
      <c r="E245" s="20" t="s">
        <v>9</v>
      </c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X245" s="6"/>
      <c r="Y245" s="6"/>
      <c r="Z245" s="16"/>
      <c r="AA245" s="6"/>
      <c r="AB245" s="6"/>
      <c r="AC245" s="20" t="str">
        <f t="shared" si="49"/>
        <v>Distribution</v>
      </c>
      <c r="AD245" s="6"/>
      <c r="AE245" s="22"/>
      <c r="AF245" s="22"/>
      <c r="AG245" s="6"/>
      <c r="AH245" s="6"/>
      <c r="AI245" s="6"/>
    </row>
    <row r="246" spans="1:35" ht="16.5" x14ac:dyDescent="0.3">
      <c r="A246" s="28"/>
      <c r="B246" s="26" t="s">
        <v>144</v>
      </c>
      <c r="C246" s="19"/>
      <c r="D246" s="1">
        <f>MAX(D243:D245)+NoOne</f>
        <v>12</v>
      </c>
      <c r="E246" s="6" t="s">
        <v>142</v>
      </c>
      <c r="F246" s="22">
        <v>5483070.8842081726</v>
      </c>
      <c r="G246" s="22">
        <f t="shared" ref="G246:V246" si="59">$F246*VLOOKUP($B246,RatiosIslInt,G$561,FALSE)</f>
        <v>0</v>
      </c>
      <c r="H246" s="22">
        <f t="shared" si="59"/>
        <v>0</v>
      </c>
      <c r="I246" s="22">
        <f t="shared" si="59"/>
        <v>0</v>
      </c>
      <c r="J246" s="22">
        <f t="shared" si="59"/>
        <v>0</v>
      </c>
      <c r="K246" s="22">
        <f t="shared" si="59"/>
        <v>848422.75454189931</v>
      </c>
      <c r="L246" s="22">
        <f t="shared" si="59"/>
        <v>2437396.570599352</v>
      </c>
      <c r="M246" s="22">
        <f t="shared" si="59"/>
        <v>664962.83444098651</v>
      </c>
      <c r="N246" s="22">
        <f t="shared" si="59"/>
        <v>203250.42400880583</v>
      </c>
      <c r="O246" s="22">
        <f t="shared" si="59"/>
        <v>359770.14111253998</v>
      </c>
      <c r="P246" s="22">
        <f t="shared" si="59"/>
        <v>352146.03198850289</v>
      </c>
      <c r="Q246" s="22">
        <f t="shared" si="59"/>
        <v>399627.63988527434</v>
      </c>
      <c r="R246" s="22">
        <f t="shared" si="59"/>
        <v>117356.9291259383</v>
      </c>
      <c r="S246" s="22">
        <f t="shared" si="59"/>
        <v>0</v>
      </c>
      <c r="T246" s="22">
        <f t="shared" si="59"/>
        <v>100137.55850487451</v>
      </c>
      <c r="U246" s="22">
        <f t="shared" si="59"/>
        <v>0</v>
      </c>
      <c r="V246" s="22">
        <f t="shared" si="59"/>
        <v>0</v>
      </c>
      <c r="X246" s="6"/>
      <c r="Y246" s="6"/>
      <c r="Z246" s="25"/>
      <c r="AA246" s="6"/>
      <c r="AB246" s="6"/>
      <c r="AC246" s="6" t="str">
        <f t="shared" si="49"/>
        <v>Other</v>
      </c>
      <c r="AD246" s="6"/>
      <c r="AE246" s="22">
        <v>0</v>
      </c>
      <c r="AF246" s="22">
        <v>0</v>
      </c>
      <c r="AG246" s="6"/>
      <c r="AH246" s="6" t="str">
        <f>+"Prorated on Distribution Plant, excluding Meters - Sch G  2.2 L. "&amp;D50&amp;", less L. "&amp;D48</f>
        <v>Prorated on Distribution Plant, excluding Meters - Sch G  2.2 L. 34, less L. 32</v>
      </c>
      <c r="AI246" s="6"/>
    </row>
    <row r="247" spans="1:35" ht="16.5" x14ac:dyDescent="0.3">
      <c r="A247" s="28"/>
      <c r="B247" s="28"/>
      <c r="C247" s="26" t="s">
        <v>39</v>
      </c>
      <c r="D247" s="1">
        <f>MAX(D244:D246)+NoOne</f>
        <v>13</v>
      </c>
      <c r="E247" s="6" t="s">
        <v>23</v>
      </c>
      <c r="F247" s="34">
        <v>359492.54166945285</v>
      </c>
      <c r="G247" s="34">
        <v>0</v>
      </c>
      <c r="H247" s="34">
        <v>0</v>
      </c>
      <c r="I247" s="34">
        <v>0</v>
      </c>
      <c r="J247" s="34">
        <v>0</v>
      </c>
      <c r="K247" s="34">
        <v>0</v>
      </c>
      <c r="L247" s="34">
        <v>0</v>
      </c>
      <c r="M247" s="34">
        <v>0</v>
      </c>
      <c r="N247" s="34">
        <v>0</v>
      </c>
      <c r="O247" s="34">
        <v>0</v>
      </c>
      <c r="P247" s="34">
        <v>0</v>
      </c>
      <c r="Q247" s="34">
        <v>0</v>
      </c>
      <c r="R247" s="34">
        <v>0</v>
      </c>
      <c r="S247" s="34">
        <v>359492.54166945285</v>
      </c>
      <c r="T247" s="34">
        <v>0</v>
      </c>
      <c r="U247" s="34">
        <v>0</v>
      </c>
      <c r="V247" s="34">
        <v>0</v>
      </c>
      <c r="X247" s="6"/>
      <c r="Y247" s="6"/>
      <c r="Z247" s="25"/>
      <c r="AA247" s="6"/>
      <c r="AB247" s="6"/>
      <c r="AC247" s="6" t="str">
        <f t="shared" si="49"/>
        <v>Meters</v>
      </c>
      <c r="AD247" s="6"/>
      <c r="AE247" s="34">
        <v>0</v>
      </c>
      <c r="AF247" s="34">
        <v>0</v>
      </c>
      <c r="AG247" s="6"/>
      <c r="AH247" s="6" t="s">
        <v>88</v>
      </c>
      <c r="AI247" s="6"/>
    </row>
    <row r="248" spans="1:35" ht="16.5" x14ac:dyDescent="0.3">
      <c r="A248" s="28">
        <f>SUM(G248:AF248)-F248</f>
        <v>0</v>
      </c>
      <c r="B248" s="28"/>
      <c r="C248" s="29" t="s">
        <v>39</v>
      </c>
      <c r="D248" s="1">
        <f>MAX(D245:D247)+NoOne</f>
        <v>14</v>
      </c>
      <c r="E248" s="20" t="s">
        <v>90</v>
      </c>
      <c r="F248" s="30">
        <f>SUM(F246:F247)</f>
        <v>5842563.4258776251</v>
      </c>
      <c r="G248" s="30">
        <f>SUM(G246:G247)</f>
        <v>0</v>
      </c>
      <c r="H248" s="30">
        <f>SUM(H246:H247)</f>
        <v>0</v>
      </c>
      <c r="I248" s="30">
        <f>SUM(I246:I247)</f>
        <v>0</v>
      </c>
      <c r="J248" s="30">
        <f t="shared" ref="J248:V248" si="60">SUM(J246:J247)</f>
        <v>0</v>
      </c>
      <c r="K248" s="30">
        <f t="shared" si="60"/>
        <v>848422.75454189931</v>
      </c>
      <c r="L248" s="30">
        <f t="shared" si="60"/>
        <v>2437396.570599352</v>
      </c>
      <c r="M248" s="30">
        <f t="shared" si="60"/>
        <v>664962.83444098651</v>
      </c>
      <c r="N248" s="30">
        <f t="shared" si="60"/>
        <v>203250.42400880583</v>
      </c>
      <c r="O248" s="30">
        <f t="shared" si="60"/>
        <v>359770.14111253998</v>
      </c>
      <c r="P248" s="30">
        <f t="shared" si="60"/>
        <v>352146.03198850289</v>
      </c>
      <c r="Q248" s="30">
        <f t="shared" si="60"/>
        <v>399627.63988527434</v>
      </c>
      <c r="R248" s="30">
        <f t="shared" si="60"/>
        <v>117356.9291259383</v>
      </c>
      <c r="S248" s="30">
        <f t="shared" si="60"/>
        <v>359492.54166945285</v>
      </c>
      <c r="T248" s="30">
        <f t="shared" si="60"/>
        <v>100137.55850487451</v>
      </c>
      <c r="U248" s="30">
        <f t="shared" si="60"/>
        <v>0</v>
      </c>
      <c r="V248" s="30">
        <f t="shared" si="60"/>
        <v>0</v>
      </c>
      <c r="X248" s="6"/>
      <c r="Y248" s="6"/>
      <c r="Z248" s="25"/>
      <c r="AA248" s="6"/>
      <c r="AB248" s="6"/>
      <c r="AC248" s="20" t="str">
        <f t="shared" si="49"/>
        <v>Subtotal Distribution</v>
      </c>
      <c r="AD248" s="6"/>
      <c r="AE248" s="30">
        <f>SUM(AE246:AE247)</f>
        <v>0</v>
      </c>
      <c r="AF248" s="30">
        <f>SUM(AF246:AF247)</f>
        <v>0</v>
      </c>
      <c r="AG248" s="6"/>
      <c r="AH248" s="6"/>
      <c r="AI248" s="6"/>
    </row>
    <row r="249" spans="1:35" ht="10.5" customHeight="1" x14ac:dyDescent="0.3">
      <c r="A249" s="28"/>
      <c r="B249" s="28"/>
      <c r="C249" s="26"/>
      <c r="D249" s="1"/>
      <c r="E249" s="6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X249" s="6"/>
      <c r="Y249" s="6"/>
      <c r="Z249" s="16"/>
      <c r="AA249" s="6"/>
      <c r="AB249" s="6"/>
      <c r="AC249" s="6" t="str">
        <f t="shared" si="49"/>
        <v/>
      </c>
      <c r="AD249" s="6"/>
      <c r="AE249" s="34"/>
      <c r="AF249" s="34"/>
      <c r="AG249" s="6"/>
      <c r="AH249" s="6"/>
      <c r="AI249" s="6"/>
    </row>
    <row r="250" spans="1:35" ht="16.5" x14ac:dyDescent="0.3">
      <c r="A250" s="28">
        <f>SUM(G250:AF250)-F250</f>
        <v>0</v>
      </c>
      <c r="B250" s="28"/>
      <c r="C250" s="29" t="s">
        <v>39</v>
      </c>
      <c r="D250" s="1">
        <f>MAX(D247:D249)+NoOne</f>
        <v>15</v>
      </c>
      <c r="E250" s="39" t="s">
        <v>91</v>
      </c>
      <c r="F250" s="69">
        <f t="shared" ref="F250:V250" si="61">SUM(F248,F243,F237)</f>
        <v>65601558.869791411</v>
      </c>
      <c r="G250" s="69">
        <f t="shared" si="61"/>
        <v>31799437.632975746</v>
      </c>
      <c r="H250" s="69">
        <f t="shared" si="61"/>
        <v>11234914.476214705</v>
      </c>
      <c r="I250" s="69">
        <f t="shared" si="61"/>
        <v>13827002.76865801</v>
      </c>
      <c r="J250" s="69">
        <f t="shared" si="61"/>
        <v>1921158.4781405863</v>
      </c>
      <c r="K250" s="69">
        <f t="shared" si="61"/>
        <v>1292369.7745334641</v>
      </c>
      <c r="L250" s="69">
        <f t="shared" si="61"/>
        <v>2437396.570599352</v>
      </c>
      <c r="M250" s="69">
        <f t="shared" si="61"/>
        <v>664962.83444098651</v>
      </c>
      <c r="N250" s="69">
        <f t="shared" si="61"/>
        <v>203250.42400880583</v>
      </c>
      <c r="O250" s="69">
        <f t="shared" si="61"/>
        <v>359770.14111253998</v>
      </c>
      <c r="P250" s="69">
        <f t="shared" si="61"/>
        <v>352146.03198850289</v>
      </c>
      <c r="Q250" s="69">
        <f t="shared" si="61"/>
        <v>399627.63988527434</v>
      </c>
      <c r="R250" s="69">
        <f t="shared" si="61"/>
        <v>117356.9291259383</v>
      </c>
      <c r="S250" s="69">
        <f t="shared" si="61"/>
        <v>359492.54166945285</v>
      </c>
      <c r="T250" s="69">
        <f t="shared" si="61"/>
        <v>100137.55850487451</v>
      </c>
      <c r="U250" s="69">
        <f t="shared" si="61"/>
        <v>0</v>
      </c>
      <c r="V250" s="69">
        <f t="shared" si="61"/>
        <v>532535.06793316943</v>
      </c>
      <c r="X250" s="6"/>
      <c r="Y250" s="6"/>
      <c r="Z250" s="25"/>
      <c r="AA250" s="6"/>
      <c r="AB250" s="6"/>
      <c r="AC250" s="39" t="str">
        <f t="shared" si="49"/>
        <v>Subttl Prod, Trans, &amp; Dist</v>
      </c>
      <c r="AD250" s="36"/>
      <c r="AE250" s="69">
        <f>SUM(AE248,AE243,AE237)</f>
        <v>0</v>
      </c>
      <c r="AF250" s="69">
        <f>SUM(AF248,AF243,AF237)</f>
        <v>0</v>
      </c>
      <c r="AG250" s="6"/>
      <c r="AH250" s="6"/>
      <c r="AI250" s="6"/>
    </row>
    <row r="251" spans="1:35" ht="13.5" customHeight="1" x14ac:dyDescent="0.3">
      <c r="A251" s="28"/>
      <c r="B251" s="28"/>
      <c r="C251" s="26"/>
      <c r="D251" s="1"/>
      <c r="E251" s="6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X251" s="6"/>
      <c r="Y251" s="6"/>
      <c r="Z251" s="16"/>
      <c r="AA251" s="6"/>
      <c r="AB251" s="6"/>
      <c r="AC251" s="6" t="str">
        <f t="shared" si="49"/>
        <v/>
      </c>
      <c r="AD251" s="6"/>
      <c r="AE251" s="22"/>
      <c r="AF251" s="22"/>
      <c r="AG251" s="6"/>
      <c r="AH251" s="6"/>
      <c r="AI251" s="6"/>
    </row>
    <row r="252" spans="1:35" ht="16.5" x14ac:dyDescent="0.3">
      <c r="A252" s="28"/>
      <c r="B252" s="28"/>
      <c r="C252" s="26" t="s">
        <v>39</v>
      </c>
      <c r="D252" s="1">
        <f>MAX(D249:D251)+NoOne</f>
        <v>16</v>
      </c>
      <c r="E252" s="6" t="s">
        <v>145</v>
      </c>
      <c r="F252" s="22">
        <v>2188530.0506533072</v>
      </c>
      <c r="G252" s="22">
        <v>0</v>
      </c>
      <c r="H252" s="22">
        <v>0</v>
      </c>
      <c r="I252" s="22">
        <v>0</v>
      </c>
      <c r="J252" s="22">
        <v>0</v>
      </c>
      <c r="K252" s="22">
        <v>0</v>
      </c>
      <c r="L252" s="22">
        <v>0</v>
      </c>
      <c r="M252" s="22">
        <v>0</v>
      </c>
      <c r="N252" s="22">
        <v>0</v>
      </c>
      <c r="O252" s="22">
        <v>0</v>
      </c>
      <c r="P252" s="22">
        <v>0</v>
      </c>
      <c r="Q252" s="22">
        <v>0</v>
      </c>
      <c r="R252" s="22">
        <v>0</v>
      </c>
      <c r="S252" s="22">
        <v>0</v>
      </c>
      <c r="T252" s="22">
        <v>0</v>
      </c>
      <c r="U252" s="22">
        <v>2188530.0506533072</v>
      </c>
      <c r="V252" s="22">
        <v>0</v>
      </c>
      <c r="X252" s="6"/>
      <c r="Y252" s="6"/>
      <c r="Z252" s="25"/>
      <c r="AA252" s="6"/>
      <c r="AB252" s="6"/>
      <c r="AC252" s="6" t="str">
        <f t="shared" si="49"/>
        <v>Customer Accounting</v>
      </c>
      <c r="AD252" s="6"/>
      <c r="AE252" s="22">
        <v>0</v>
      </c>
      <c r="AF252" s="22">
        <v>0</v>
      </c>
      <c r="AG252" s="6"/>
      <c r="AH252" s="6" t="s">
        <v>146</v>
      </c>
      <c r="AI252" s="6"/>
    </row>
    <row r="253" spans="1:35" ht="13.5" customHeight="1" x14ac:dyDescent="0.3">
      <c r="A253" s="28"/>
      <c r="B253" s="28"/>
      <c r="C253" s="26"/>
      <c r="D253" s="1"/>
      <c r="E253" s="6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X253" s="6"/>
      <c r="Y253" s="6"/>
      <c r="Z253" s="16"/>
      <c r="AA253" s="6"/>
      <c r="AB253" s="6"/>
      <c r="AC253" s="6" t="str">
        <f t="shared" si="49"/>
        <v/>
      </c>
      <c r="AD253" s="6"/>
      <c r="AE253" s="22"/>
      <c r="AF253" s="22"/>
      <c r="AG253" s="6"/>
      <c r="AH253" s="6"/>
      <c r="AI253" s="6"/>
    </row>
    <row r="254" spans="1:35" ht="16.5" x14ac:dyDescent="0.3">
      <c r="A254" s="28"/>
      <c r="B254" s="28"/>
      <c r="C254" s="26"/>
      <c r="D254" s="1"/>
      <c r="E254" s="21" t="s">
        <v>147</v>
      </c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X254" s="6"/>
      <c r="Y254" s="6"/>
      <c r="Z254" s="16"/>
      <c r="AA254" s="6"/>
      <c r="AB254" s="6"/>
      <c r="AC254" s="21" t="str">
        <f t="shared" si="49"/>
        <v>Administrative &amp; General:</v>
      </c>
      <c r="AD254" s="17"/>
      <c r="AE254" s="22"/>
      <c r="AF254" s="22"/>
      <c r="AG254" s="6"/>
      <c r="AH254" s="6"/>
      <c r="AI254" s="6"/>
    </row>
    <row r="255" spans="1:35" ht="16.5" x14ac:dyDescent="0.3">
      <c r="A255" s="28"/>
      <c r="B255" s="28"/>
      <c r="C255" s="26" t="s">
        <v>39</v>
      </c>
      <c r="D255" s="1"/>
      <c r="E255" s="17" t="s">
        <v>148</v>
      </c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X255" s="6"/>
      <c r="Y255" s="6"/>
      <c r="Z255" s="16"/>
      <c r="AA255" s="6"/>
      <c r="AB255" s="6"/>
      <c r="AC255" s="17" t="str">
        <f t="shared" si="49"/>
        <v>Plant-Related:</v>
      </c>
      <c r="AD255" s="17"/>
      <c r="AE255" s="22"/>
      <c r="AF255" s="22"/>
      <c r="AG255" s="6"/>
      <c r="AH255" s="6"/>
      <c r="AI255" s="6"/>
    </row>
    <row r="256" spans="1:35" ht="16.5" x14ac:dyDescent="0.3">
      <c r="A256" s="28"/>
      <c r="B256" s="28"/>
      <c r="C256" s="26"/>
      <c r="D256" s="1">
        <f>MAX(D252:D255)+NoOne</f>
        <v>17</v>
      </c>
      <c r="E256" s="70" t="s">
        <v>16</v>
      </c>
      <c r="F256" s="22">
        <v>7256926</v>
      </c>
      <c r="G256" s="22">
        <f>IF($F$29&lt;&gt;0,$F256*(G29/$F$29),0)</f>
        <v>4747995.324819955</v>
      </c>
      <c r="H256" s="22">
        <f t="shared" ref="H256:V256" si="62">IF($F$29&lt;&gt;0,$F256*(H29/$F$29),0)</f>
        <v>2508930.675180044</v>
      </c>
      <c r="I256" s="22">
        <f t="shared" si="62"/>
        <v>0</v>
      </c>
      <c r="J256" s="22">
        <f t="shared" si="62"/>
        <v>0</v>
      </c>
      <c r="K256" s="22">
        <f t="shared" si="62"/>
        <v>0</v>
      </c>
      <c r="L256" s="22">
        <f t="shared" si="62"/>
        <v>0</v>
      </c>
      <c r="M256" s="22">
        <f t="shared" si="62"/>
        <v>0</v>
      </c>
      <c r="N256" s="22">
        <f t="shared" si="62"/>
        <v>0</v>
      </c>
      <c r="O256" s="22">
        <f t="shared" si="62"/>
        <v>0</v>
      </c>
      <c r="P256" s="22">
        <f t="shared" si="62"/>
        <v>0</v>
      </c>
      <c r="Q256" s="22">
        <f t="shared" si="62"/>
        <v>0</v>
      </c>
      <c r="R256" s="22">
        <f t="shared" si="62"/>
        <v>0</v>
      </c>
      <c r="S256" s="22">
        <f t="shared" si="62"/>
        <v>0</v>
      </c>
      <c r="T256" s="22">
        <f t="shared" si="62"/>
        <v>0</v>
      </c>
      <c r="U256" s="22">
        <f t="shared" si="62"/>
        <v>0</v>
      </c>
      <c r="V256" s="22">
        <f t="shared" si="62"/>
        <v>0</v>
      </c>
      <c r="X256" s="6"/>
      <c r="Y256" s="6"/>
      <c r="Z256" s="25"/>
      <c r="AA256" s="6"/>
      <c r="AB256" s="6"/>
      <c r="AC256" s="70" t="str">
        <f t="shared" si="49"/>
        <v>Production</v>
      </c>
      <c r="AD256" s="71"/>
      <c r="AE256" s="22">
        <v>0</v>
      </c>
      <c r="AF256" s="22">
        <v>0</v>
      </c>
      <c r="AG256" s="6"/>
      <c r="AH256" s="6" t="str">
        <f>+"Prorated on Production Plant in Service - Sch G 2.2 L."&amp;$D$29</f>
        <v>Prorated on Production Plant in Service - Sch G 2.2 L.15</v>
      </c>
      <c r="AI256" s="6"/>
    </row>
    <row r="257" spans="1:35" ht="16.5" x14ac:dyDescent="0.3">
      <c r="A257" s="28"/>
      <c r="B257" s="28"/>
      <c r="C257" s="26"/>
      <c r="D257" s="1">
        <f t="shared" ref="D257:D263" si="63">MAX(D254:D256)+NoOne</f>
        <v>18</v>
      </c>
      <c r="E257" s="72" t="s">
        <v>149</v>
      </c>
      <c r="F257" s="22">
        <v>2043181.9965099997</v>
      </c>
      <c r="G257" s="22">
        <f t="shared" ref="G257:V257" si="64">($F$257*((G26+G28)/($F$26+$F$28)))</f>
        <v>2043181.9965099997</v>
      </c>
      <c r="H257" s="22">
        <f t="shared" si="64"/>
        <v>0</v>
      </c>
      <c r="I257" s="22">
        <f t="shared" si="64"/>
        <v>0</v>
      </c>
      <c r="J257" s="22">
        <f t="shared" si="64"/>
        <v>0</v>
      </c>
      <c r="K257" s="22">
        <f t="shared" si="64"/>
        <v>0</v>
      </c>
      <c r="L257" s="22">
        <f t="shared" si="64"/>
        <v>0</v>
      </c>
      <c r="M257" s="22">
        <f t="shared" si="64"/>
        <v>0</v>
      </c>
      <c r="N257" s="22">
        <f t="shared" si="64"/>
        <v>0</v>
      </c>
      <c r="O257" s="22">
        <f t="shared" si="64"/>
        <v>0</v>
      </c>
      <c r="P257" s="22">
        <f t="shared" si="64"/>
        <v>0</v>
      </c>
      <c r="Q257" s="22">
        <f t="shared" si="64"/>
        <v>0</v>
      </c>
      <c r="R257" s="22">
        <f t="shared" si="64"/>
        <v>0</v>
      </c>
      <c r="S257" s="22">
        <f t="shared" si="64"/>
        <v>0</v>
      </c>
      <c r="T257" s="22">
        <f t="shared" si="64"/>
        <v>0</v>
      </c>
      <c r="U257" s="22">
        <f t="shared" si="64"/>
        <v>0</v>
      </c>
      <c r="V257" s="22">
        <f t="shared" si="64"/>
        <v>0</v>
      </c>
      <c r="X257" s="6"/>
      <c r="Y257" s="6"/>
      <c r="Z257" s="25"/>
      <c r="AA257" s="6"/>
      <c r="AB257" s="6"/>
      <c r="AC257" s="70" t="str">
        <f t="shared" si="49"/>
        <v>Prod - Gas Turb &amp; Diesel</v>
      </c>
      <c r="AD257" s="71"/>
      <c r="AE257" s="22"/>
      <c r="AF257" s="22">
        <v>0</v>
      </c>
      <c r="AG257" s="6"/>
      <c r="AH257" s="6" t="str">
        <f>+"Prorated on Gas Turbine &amp; Diesel Production Plant in Service - Sch G 2.2 L."&amp;$D$26&amp;", " &amp;$D$28</f>
        <v>Prorated on Gas Turbine &amp; Diesel Production Plant in Service - Sch G 2.2 L.12, 14</v>
      </c>
      <c r="AI257" s="6"/>
    </row>
    <row r="258" spans="1:35" ht="16.5" x14ac:dyDescent="0.3">
      <c r="A258" s="28"/>
      <c r="B258" s="28"/>
      <c r="C258" s="73"/>
      <c r="D258" s="1">
        <f t="shared" si="63"/>
        <v>19</v>
      </c>
      <c r="E258" s="70" t="s">
        <v>150</v>
      </c>
      <c r="F258" s="22">
        <v>5495558.130921999</v>
      </c>
      <c r="G258" s="22">
        <f>IF(IndexPlant=1,IF($F$38&lt;&gt;0,$F258*(G38/$F$38),0),IF($F$38&lt;&gt;0,($F258-V258)*((G38/($F$38-V38))),0))</f>
        <v>302640.24045080983</v>
      </c>
      <c r="H258" s="22">
        <f>IF(IndexPlant=1,IF($F$38&lt;&gt;0,$F258*(H38/$F$38),0),IF($F$38&lt;&gt;0,($F258-V258)*(H38/($F$38-V38)),0))</f>
        <v>239366.286749341</v>
      </c>
      <c r="I258" s="22">
        <v>4217708.070369456</v>
      </c>
      <c r="J258" s="22">
        <f>IF(IndexPlant=1,IF($F$38&lt;&gt;0,$F258*(J38/$F$38),0),IF($F$38&lt;&gt;0,($F258-V258)*(J38/($F$38-V38))))</f>
        <v>636315.25003051665</v>
      </c>
      <c r="K258" s="22">
        <f>IF(IndexPlant=1,IF($F$38&lt;&gt;0,$F258*(K38/$F$38),0),IF($F$38&lt;&gt;0,($F258-V258)*(K38/($F$38-V38))))</f>
        <v>99528.283321874682</v>
      </c>
      <c r="L258" s="22">
        <f t="shared" ref="L258:U258" si="65">IF($F$38&lt;&gt;0,$F258*(L38/$F$38),0)</f>
        <v>0</v>
      </c>
      <c r="M258" s="22">
        <f t="shared" si="65"/>
        <v>0</v>
      </c>
      <c r="N258" s="22">
        <f t="shared" si="65"/>
        <v>0</v>
      </c>
      <c r="O258" s="22">
        <f t="shared" si="65"/>
        <v>0</v>
      </c>
      <c r="P258" s="22">
        <f t="shared" si="65"/>
        <v>0</v>
      </c>
      <c r="Q258" s="22">
        <f t="shared" si="65"/>
        <v>0</v>
      </c>
      <c r="R258" s="22">
        <f t="shared" si="65"/>
        <v>0</v>
      </c>
      <c r="S258" s="22">
        <f t="shared" si="65"/>
        <v>0</v>
      </c>
      <c r="T258" s="22">
        <f t="shared" si="65"/>
        <v>0</v>
      </c>
      <c r="U258" s="22">
        <f t="shared" si="65"/>
        <v>0</v>
      </c>
      <c r="V258" s="22">
        <v>0</v>
      </c>
      <c r="X258" s="6"/>
      <c r="Y258" s="6"/>
      <c r="Z258" s="25"/>
      <c r="AA258" s="6"/>
      <c r="AB258" s="6"/>
      <c r="AC258" s="70" t="str">
        <f t="shared" si="49"/>
        <v xml:space="preserve">Transmission  </v>
      </c>
      <c r="AD258" s="71"/>
      <c r="AE258" s="22">
        <v>0</v>
      </c>
      <c r="AF258" s="22">
        <v>0</v>
      </c>
      <c r="AG258" s="6"/>
      <c r="AH258" s="6" t="str">
        <f>IF(IndexPlant=1,"Prorated on Transmission Plant in Service - Sch G 2.2 L."&amp;$D$38&amp;" (C5 &amp; 18 then prorated on indexed plant).","Prorated on Transmission Plant in Service - Sch G 2.2 L."&amp;$D$38)</f>
        <v>Prorated on Transmission Plant in Service - Sch G 2.2 L.23</v>
      </c>
      <c r="AI258" s="6"/>
    </row>
    <row r="259" spans="1:35" ht="16.5" x14ac:dyDescent="0.3">
      <c r="A259" s="28"/>
      <c r="B259" s="28"/>
      <c r="C259" s="73"/>
      <c r="D259" s="1">
        <f t="shared" si="63"/>
        <v>20</v>
      </c>
      <c r="E259" s="70" t="s">
        <v>151</v>
      </c>
      <c r="F259" s="22">
        <v>2747806.3904679995</v>
      </c>
      <c r="G259" s="22">
        <f t="shared" ref="G259:V259" si="66">IF($F$50&lt;&gt;0,$F259*(G50/$F$50),0)</f>
        <v>0</v>
      </c>
      <c r="H259" s="22">
        <f t="shared" si="66"/>
        <v>0</v>
      </c>
      <c r="I259" s="22">
        <f t="shared" si="66"/>
        <v>0</v>
      </c>
      <c r="J259" s="22">
        <f t="shared" si="66"/>
        <v>0</v>
      </c>
      <c r="K259" s="22">
        <f t="shared" si="66"/>
        <v>411232.36825881305</v>
      </c>
      <c r="L259" s="22">
        <f t="shared" si="66"/>
        <v>1181411.4587894171</v>
      </c>
      <c r="M259" s="22">
        <f t="shared" si="66"/>
        <v>322308.94297372998</v>
      </c>
      <c r="N259" s="22">
        <f t="shared" si="66"/>
        <v>98515.925895786888</v>
      </c>
      <c r="O259" s="22">
        <f t="shared" si="66"/>
        <v>174381.3757545923</v>
      </c>
      <c r="P259" s="22">
        <f t="shared" si="66"/>
        <v>170685.95335560886</v>
      </c>
      <c r="Q259" s="22">
        <f t="shared" si="66"/>
        <v>193700.392748702</v>
      </c>
      <c r="R259" s="22">
        <f t="shared" si="66"/>
        <v>56883.160709308766</v>
      </c>
      <c r="S259" s="22">
        <f t="shared" si="66"/>
        <v>90149.917945235138</v>
      </c>
      <c r="T259" s="22">
        <f t="shared" si="66"/>
        <v>48536.89403680573</v>
      </c>
      <c r="U259" s="22">
        <f t="shared" si="66"/>
        <v>0</v>
      </c>
      <c r="V259" s="22">
        <f t="shared" si="66"/>
        <v>0</v>
      </c>
      <c r="X259" s="6"/>
      <c r="Y259" s="6"/>
      <c r="Z259" s="25"/>
      <c r="AA259" s="6"/>
      <c r="AB259" s="6"/>
      <c r="AC259" s="70" t="str">
        <f t="shared" si="49"/>
        <v xml:space="preserve">Distribution  </v>
      </c>
      <c r="AD259" s="71"/>
      <c r="AE259" s="22">
        <v>0</v>
      </c>
      <c r="AF259" s="22">
        <v>0</v>
      </c>
      <c r="AG259" s="6"/>
      <c r="AH259" s="6" t="str">
        <f>+"Prorated on Distribution Plant in Service - Sch G 2.2 L."&amp;$D$50</f>
        <v>Prorated on Distribution Plant in Service - Sch G 2.2 L.34</v>
      </c>
      <c r="AI259" s="6"/>
    </row>
    <row r="260" spans="1:35" ht="16.5" x14ac:dyDescent="0.3">
      <c r="A260" s="28"/>
      <c r="B260" s="28"/>
      <c r="C260" s="73"/>
      <c r="D260" s="1">
        <f t="shared" si="63"/>
        <v>21</v>
      </c>
      <c r="E260" s="72" t="s">
        <v>152</v>
      </c>
      <c r="F260" s="22">
        <v>0</v>
      </c>
      <c r="G260" s="22">
        <f t="shared" ref="G260:V260" si="67">IF($F$51&lt;&gt;0,$F260*(G51/$F$51),0)</f>
        <v>0</v>
      </c>
      <c r="H260" s="22">
        <f t="shared" si="67"/>
        <v>0</v>
      </c>
      <c r="I260" s="22">
        <f t="shared" si="67"/>
        <v>0</v>
      </c>
      <c r="J260" s="22">
        <f t="shared" si="67"/>
        <v>0</v>
      </c>
      <c r="K260" s="22">
        <f t="shared" si="67"/>
        <v>0</v>
      </c>
      <c r="L260" s="22">
        <f t="shared" si="67"/>
        <v>0</v>
      </c>
      <c r="M260" s="22">
        <f t="shared" si="67"/>
        <v>0</v>
      </c>
      <c r="N260" s="22">
        <f t="shared" si="67"/>
        <v>0</v>
      </c>
      <c r="O260" s="22">
        <f t="shared" si="67"/>
        <v>0</v>
      </c>
      <c r="P260" s="22">
        <f t="shared" si="67"/>
        <v>0</v>
      </c>
      <c r="Q260" s="22">
        <f t="shared" si="67"/>
        <v>0</v>
      </c>
      <c r="R260" s="22">
        <f t="shared" si="67"/>
        <v>0</v>
      </c>
      <c r="S260" s="22">
        <f t="shared" si="67"/>
        <v>0</v>
      </c>
      <c r="T260" s="22">
        <f t="shared" si="67"/>
        <v>0</v>
      </c>
      <c r="U260" s="22">
        <f t="shared" si="67"/>
        <v>0</v>
      </c>
      <c r="V260" s="22">
        <f t="shared" si="67"/>
        <v>0</v>
      </c>
      <c r="X260" s="6"/>
      <c r="Y260" s="6"/>
      <c r="Z260" s="25"/>
      <c r="AA260" s="6"/>
      <c r="AB260" s="6"/>
      <c r="AC260" s="72" t="str">
        <f t="shared" si="49"/>
        <v xml:space="preserve">Prod, Trans, Distn </v>
      </c>
      <c r="AD260" s="74"/>
      <c r="AE260" s="22">
        <v>0</v>
      </c>
      <c r="AF260" s="22">
        <v>0</v>
      </c>
      <c r="AG260" s="6"/>
      <c r="AH260" s="6" t="str">
        <f>"Prorated on Prod, Trans &amp; Distribution Plant in Service - Sch G 2.2 L."&amp;$D$51</f>
        <v>Prorated on Prod, Trans &amp; Distribution Plant in Service - Sch G 2.2 L.35</v>
      </c>
      <c r="AI260" s="6"/>
    </row>
    <row r="261" spans="1:35" ht="33" x14ac:dyDescent="0.3">
      <c r="A261" s="28"/>
      <c r="B261" s="28"/>
      <c r="C261" s="73"/>
      <c r="D261" s="1">
        <f t="shared" si="63"/>
        <v>22</v>
      </c>
      <c r="E261" s="70" t="s">
        <v>153</v>
      </c>
      <c r="F261" s="22">
        <v>280720.19560669153</v>
      </c>
      <c r="G261" s="22">
        <f>IF(IndexPlant=1,IF($F$58&lt;&gt;0,$F261*(G58/$F$58),0),($F$261-$V$261)*((G58)/($F$58-$V$58)))</f>
        <v>110503.76563328404</v>
      </c>
      <c r="H261" s="22">
        <f>IF(IndexPlant=1,IF($F$58&lt;&gt;0,$F261*(H58/$F$58),0),($F$261-$V$261)*((H58)/($F$58-$V$58)))</f>
        <v>58098.743498007112</v>
      </c>
      <c r="I261" s="22">
        <v>72409.300378198153</v>
      </c>
      <c r="J261" s="22">
        <f t="shared" ref="J261:S261" si="68">IF(IndexPlant=1,IF($F$58&lt;&gt;0,$F261*(J58/$F$58),0),($F261-$V261)*((J58)/($F$58-$V$58)))</f>
        <v>10877.104581926684</v>
      </c>
      <c r="K261" s="22">
        <f t="shared" si="68"/>
        <v>5695.4080002868986</v>
      </c>
      <c r="L261" s="22">
        <f t="shared" si="68"/>
        <v>11356.681444492264</v>
      </c>
      <c r="M261" s="22">
        <f t="shared" si="68"/>
        <v>3098.2939642505385</v>
      </c>
      <c r="N261" s="22">
        <f t="shared" si="68"/>
        <v>947.01467408661995</v>
      </c>
      <c r="O261" s="22">
        <f t="shared" si="68"/>
        <v>1676.2946724137128</v>
      </c>
      <c r="P261" s="22">
        <f t="shared" si="68"/>
        <v>1640.7712866568988</v>
      </c>
      <c r="Q261" s="22">
        <f t="shared" si="68"/>
        <v>1862.0046722537795</v>
      </c>
      <c r="R261" s="22">
        <f t="shared" si="68"/>
        <v>546.80689858335506</v>
      </c>
      <c r="S261" s="22">
        <f t="shared" si="68"/>
        <v>916.16369407033324</v>
      </c>
      <c r="T261" s="22">
        <f>IF(IndexPlant=1,IF($F$58&lt;&gt;0,$F261*(T58/$F$58),0),($F261-V261)*((T58)/($F$58-$V$58)))</f>
        <v>466.5758400937703</v>
      </c>
      <c r="U261" s="22">
        <f>IF(IndexPlant=1,IF($F$58&lt;&gt;0,$F261*(U58/$F$58),0),($F261-V261)*((U58)/($F$58-$V$58)))</f>
        <v>625.26636808737351</v>
      </c>
      <c r="V261" s="22">
        <v>0</v>
      </c>
      <c r="X261" s="6"/>
      <c r="Y261" s="6"/>
      <c r="Z261" s="25"/>
      <c r="AA261" s="6"/>
      <c r="AB261" s="6"/>
      <c r="AC261" s="70" t="str">
        <f t="shared" si="49"/>
        <v>Prod, Trans, Distn and General Plant</v>
      </c>
      <c r="AD261" s="74"/>
      <c r="AE261" s="22">
        <v>0</v>
      </c>
      <c r="AF261" s="22">
        <v>0</v>
      </c>
      <c r="AG261" s="6"/>
      <c r="AH261" s="6" t="str">
        <f>IF(IndexPlant=1,"Prorated on Total Plant in Service, Sch G  2.2, L. "&amp;$D$58&amp;" (C5 &amp; 18 then prorated on indexed plant).","Prorated on Total Plant in Service, Sch G  2.2, L. "&amp;$D$58)</f>
        <v>Prorated on Total Plant in Service, Sch G  2.2, L. 42</v>
      </c>
      <c r="AI261" s="6"/>
    </row>
    <row r="262" spans="1:35" ht="33" x14ac:dyDescent="0.3">
      <c r="A262" s="28"/>
      <c r="B262" s="28"/>
      <c r="C262" s="73"/>
      <c r="D262" s="1">
        <f t="shared" si="63"/>
        <v>23</v>
      </c>
      <c r="E262" s="72" t="s">
        <v>154</v>
      </c>
      <c r="F262" s="22">
        <v>630853.74400000006</v>
      </c>
      <c r="G262" s="22">
        <f>IF(IndexPlant=1,IF($F$51&lt;&gt;0,$F262*((G51-G24-G25)/($F$51-$F$24-$F$25)),0),IF($F$51&lt;&gt;0,($F262-$V262)*((G51-G24-G25)/($F$51-$V$51-$F$24-$V$24-$F$25-$V$25)),0))</f>
        <v>108620.14629707647</v>
      </c>
      <c r="H262" s="22">
        <f>IF(IndexPlant=1,IF($F$51&lt;&gt;0,$F262*((H51-H24-H25)/($F$51-$F$24-$F$25)),0),IF($F$51&lt;&gt;0,($F262-$V262)*((H51-H24-H25)/($F$51-$V$51-$F$24-$V$24-$F$25-$V$25)),0))</f>
        <v>18600.597810867832</v>
      </c>
      <c r="I262" s="22">
        <v>327748.2913988923</v>
      </c>
      <c r="J262" s="22">
        <f>IF(IndexPlant=1,IF($F$51&lt;&gt;0,$F262*((J51-J24-J25)/($F$51-$F$24-$F$25)),0),IF($F$51&lt;&gt;0,($F262-V262)*((J51-J24-J25)/($F$51-$V51-$F$24-$V$24-$F$25-$V$25)),0))</f>
        <v>49446.579163145456</v>
      </c>
      <c r="K262" s="22">
        <f>IF(IndexPlant=1,IF($F$51&lt;&gt;0,$F262*((K51-K24-K25)/($F$51-$F$24-$F$25)),0),IF($F$51&lt;&gt;0,($F262-V262)*((K51-K24-K25)/($F$51-$V$51-$F$24-$V$24-$F$25-$V$25)),0))</f>
        <v>25499.167552464718</v>
      </c>
      <c r="L262" s="22">
        <f>IF(IndexPlant=1,IF($F$51&lt;&gt;0,$F262*((L51-L24-L25)/($F$51-$F$24-$F$25)),0),IF($F$51&lt;&gt;0,($F262-V262)*((L51-L24-L25)/($F$51-$V$51-$F$24-$V$24-$F$25-$V$25)),0))</f>
        <v>51036.451209690022</v>
      </c>
      <c r="M262" s="22">
        <f>IF(IndexPlant=1,IF($F$51&lt;&gt;0,$F262*((M51-M24-M25)/($F$51-$F$24-$F$25)),0),IF($F$51&lt;&gt;0,($F262-V262)*((M51-M24-M25)/($F$51-$V$51-$F$24-$V$24-$F$25-$V$25)),0))</f>
        <v>13923.603432271775</v>
      </c>
      <c r="N262" s="22">
        <f>IF(IndexPlant=1,IF($F$51&lt;&gt;0,$F262*((N51-N24-N25)/($F$51-$F$24-$F$25)),0),(IF($F$51&lt;&gt;0,($F262-V262)*((N51-N24-N25)/($F$51-$V$51-$F$24-$V$24-$F$25-$V$25)),0)))</f>
        <v>4255.8443190569842</v>
      </c>
      <c r="O262" s="22">
        <f>IF(IndexPlant=1,IF($F$51&lt;&gt;0,$F262*((O51-O24-O25)/($F$51-$F$24-$F$25)),0),(IF($F$51&lt;&gt;0,($F262-V262)*((O51-O24-O25)/($F$51-$V$51-$F$24-$V$24-$F$25-$V$25)),0)))</f>
        <v>7533.1981160039149</v>
      </c>
      <c r="P262" s="22">
        <f>IF(IndexPlant=1,IF($F$51&lt;&gt;0,$F262*((P51-P24-P25)/($F$51-$F$24-$F$25)),0),(IF($F$51&lt;&gt;0,($F262-V262)*((P51-P24-P25)/($F$51-$V$51-$F$24-$V$24-$F$25-$V$25)),0)))</f>
        <v>7373.5575068310754</v>
      </c>
      <c r="Q262" s="22">
        <f>IF(IndexPlant=1,IF($F$51&lt;&gt;0,$F262*((Q51-Q24-Q25)/($F$51-$F$24-$F$25)),0),(IF($F$51&lt;&gt;0,($F262-V262)*((Q51-Q24-Q25)/($F$51-$V$51-$F$24-$V$24-$F$25-$V$25)),0)))</f>
        <v>8367.7710845523761</v>
      </c>
      <c r="R262" s="22">
        <f>IF(IndexPlant=1,IF($F$51&lt;&gt;0,$F262*((R51-R24-R25)/($F$51-$F$24-$F$25)),0),(IF($F$51&lt;&gt;0,($F262-V262)*((R51-R24-R25)/($F$51-$V$51-$F$24-$V$24-$F$25-$V$25)),0)))</f>
        <v>2457.3273219885573</v>
      </c>
      <c r="S262" s="22">
        <f>IF(IndexPlant=1,IF($F$51&lt;&gt;0,$F262*((S51-S24-S25)/($F$51-$F$24-$F$25)),0),(IF($F$51&lt;&gt;0,($F262-V262)*((S51-S24-S25)/($F$51-$V$51-$F$24-$V$24-$F$25-$V$25)),0)))</f>
        <v>3894.4364848840137</v>
      </c>
      <c r="T262" s="22">
        <f>IF(IndexPlant=1,IF($F$51&lt;&gt;0,$F262*((T51-T24-T25)/($F$51-$F$24-$F$25)),0),(IF($F$51&lt;&gt;0,($F262-V262)*((T51-T24-T25)/($F$51-$V$51-$F$24-$V$24-$F$25-$V$25)),0)))</f>
        <v>2096.7723022744731</v>
      </c>
      <c r="U262" s="22">
        <f t="shared" ref="U262" si="69">IF($F$51&lt;&gt;0,$F262*((U51-U24-U25)/($F$51-$F$24-$F$25)),0)</f>
        <v>0</v>
      </c>
      <c r="V262" s="22">
        <v>0</v>
      </c>
      <c r="X262" s="6"/>
      <c r="Y262" s="6"/>
      <c r="Z262" s="58"/>
      <c r="AA262" s="6"/>
      <c r="AB262" s="6"/>
      <c r="AC262" s="72" t="str">
        <f t="shared" si="49"/>
        <v>Prod, Trans, Distn, Excl Hydraulic &amp; Holyrood</v>
      </c>
      <c r="AD262" s="74"/>
      <c r="AE262" s="22">
        <v>0</v>
      </c>
      <c r="AF262" s="22">
        <v>0</v>
      </c>
      <c r="AG262" s="6"/>
      <c r="AH262" s="6" t="str">
        <f>IF(IndexPlant=1,"Prorated on Total Plant in Service, Sch G  2.2, L. "&amp;$D$51&amp;" Less L. "&amp;$D$24&amp;" and L. "&amp;D25&amp;" (C5 &amp; 18 then prorated on indexed plant).","Prorated on Total Plant in Service, Sch G  2.2, L. "&amp;$D$51&amp;" Less L. "&amp;$D$24&amp;" and L. "&amp;D25)</f>
        <v>Prorated on Total Plant in Service, Sch G  2.2, L. 35 Less L. 10 and L. 11</v>
      </c>
      <c r="AI262" s="6"/>
    </row>
    <row r="263" spans="1:35" ht="16.5" x14ac:dyDescent="0.3">
      <c r="A263" s="28"/>
      <c r="B263" s="28"/>
      <c r="C263" s="73"/>
      <c r="D263" s="1">
        <f t="shared" si="63"/>
        <v>24</v>
      </c>
      <c r="E263" s="75" t="s">
        <v>155</v>
      </c>
      <c r="F263" s="22">
        <v>2927025.5762675228</v>
      </c>
      <c r="G263" s="22">
        <f>IF(IndexPlant=1,IF(SUM($F$29,$F$37,$F$40,$F$52:$F$54)&lt;&gt;0,$F263*((SUM(G$29,G$37,G$40,G$52:G$54)/SUM($F$29,$F$37,$F$40,$F$52:$F$54))),0),IF(SUM($F$29,$F$37,$F$40,$F$52:$F$54)&lt;&gt;0,($F263-V263)*((SUM(G$29,G$37,G$40,G$52:G$54)/SUM($F$29-$V29,$F$37-$V37,$F$40-$V$40,SUM($F$52:$F$54)-SUM($V$52:$V$54)))),0))</f>
        <v>1546263.638272638</v>
      </c>
      <c r="H263" s="22">
        <f>IF(IndexPlant=1,IF(SUM($F$29,$F$37,$F$40,$F$52:$F$54)&lt;&gt;0,$F263*((SUM(H$29,H$37,H$40,H$52:H$54)/SUM($F$29,$F$37,$F$40,$F$52:$F$54))),0),IF(SUM($F$29,$F$37,$F$40,$F$52:$F$54)&lt;&gt;0,($F263-V263)*((SUM(H$29,H$37,H$40,H$52:H$54)/SUM($F$29-$V$29,$F$37-$V$37,$F$40-$V$40,SUM($F$52:$F$54)-SUM($V$52:$V$54)))),0))</f>
        <v>803124.93595635414</v>
      </c>
      <c r="I263" s="22">
        <v>424143.33419678721</v>
      </c>
      <c r="J263" s="22">
        <f>IF(IndexPlant=1,IF(SUM($F$29,$F$37,$F$40,$F$52:$F$54)&lt;&gt;0,$F263*((SUM(J$29,J$37,J$40,J$52:J$54)/SUM($F$29,$F$37,$F$40,$F$52:$F$54))),0),IF(SUM($F$29,$F$37,$F$40,$F$52:$F$54)&lt;&gt;0,($F263-V263)*((SUM(J$29,J$37,J$40,J$52:J$54)/SUM($F$29-$V$29,$F$37-$V$37,$F$40-$V$40,SUM($F$52:$F$54)-SUM($V$52:$V$54)))),0))</f>
        <v>43418.058954115579</v>
      </c>
      <c r="K263" s="22">
        <f>IF(IndexPlant=1,IF(SUM($F$29,$F$37,$F$40,$F$52:$F$54)&lt;&gt;0,$F263*((SUM(K$29,K$37,K$40,K$52:K$54)/SUM($F$29,$F$37,$F$40,$F$52:$F$54))),0),IF(SUM($F$29,$F$37,$F$40,$F$52:$F$54)&lt;&gt;0,($F263-V263)*((SUM(K$29,K$37,K$40,K$52:K$54)/SUM($F$29-$V$29,$F$37-$V$37,$F$40-$V$40,SUM($F$52:$F$54)-SUM($V$52:$V$54)))),0))</f>
        <v>80700.280285953311</v>
      </c>
      <c r="L263" s="22">
        <f>IF(IndexPlant=1,IF(SUM($F$29,$F$37,$F$40,$F$52:$F$54)&lt;&gt;0,$F263*((SUM(L$29,L$37,L$40,L$52:L$54)/SUM($F$29,$F$37,$F$40,$F$52:$F$54))),0),IF(SUM($F$29,$F$37,$F$40,$F$52:$F$54)&lt;&gt;0,($F263-V263)*((SUM(L$29,L$37,L$40,L$52:L$54)/SUM($F$29-$V$29,$F$37-$V$37,$F$40-$V$40,SUM($F$52:$F$54)-SUM($V$52:$V$54)))),0))</f>
        <v>9998.3292668439026</v>
      </c>
      <c r="M263" s="22">
        <f>IF(IndexPlant=1,IF(SUM($F$29,$F$37,$F$40,$F$52:$F$54)&lt;&gt;0,$F263*((SUM(M$29,M$37,M$40,M$52:M$54)/SUM($F$29,$F$37,$F$40,$F$52:$F$54))),0),IF(SUM($F$29,$F$37,$F$40,$F$52:$F$54)&lt;&gt;0,($F263-V263)*((SUM(M$29,M$37,M$40,M$52:M$54)/SUM($F$29-$V$29,$F$37-$V$37,$F$40-$V$40,SUM($F$52:$F$54)-SUM($V$52:$V$54)))),0))</f>
        <v>2727.7126131838013</v>
      </c>
      <c r="N263" s="22">
        <f>IF(IndexPlant=1,IF(SUM($F$29,$F$37,$F$40,$F$52:$F$54)&lt;&gt;0,$F263*((SUM(N$29,N$37,N$40,N$52:N$54)/SUM($F$29,$F$37,$F$40,$F$52:$F$54))),0),IF(SUM($F$29,$F$37,$F$40,$F$52:$F$54)&lt;&gt;0,($F263-V263)*((SUM(N$29,N$37,N$40,N$52:N$54)/SUM($F$29-$V$29,$F$37-$V$37,$F$40-$V$40,SUM($F$52:$F$54)-SUM($V$52:$V$54)))),0))</f>
        <v>833.74395753989688</v>
      </c>
      <c r="O263" s="22">
        <f>IF(IndexPlant=1,IF(SUM($F$29,$F$37,$F$40,$F$52:$F$54)&lt;&gt;0,$F263*((SUM(O$29,O$37,O$40,O$52:O$54)/SUM($F$29,$F$37,$F$40,$F$52:$F$54))),0),IF(SUM($F$29,$F$37,$F$40,$F$52:$F$54)&lt;&gt;0,($F263-V263)*((SUM(O$29,O$37,O$40,O$52:O$54)/SUM($F$29-$V$29,$F$37-$V$37,$F$40-$V$40,SUM($F$52:$F$54)-SUM($V$52:$V$54)))),0))</f>
        <v>1475.7960910470749</v>
      </c>
      <c r="P263" s="22">
        <f>IF(IndexPlant=1,IF(SUM($F$29,$F$37,$F$40,$F$52:$F$54)&lt;&gt;0,$F263*((SUM(P$29,P$37,P$40,P$52:P$54)/SUM($F$29,$F$37,$F$40,$F$52:$F$54))),0),IF(SUM($F$29,$F$37,$F$40,$F$52:$F$54)&lt;&gt;0,($F263-V263)*((SUM(P$29,P$37,P$40,P$52:P$54)/SUM($F$29-$V$29,$F$37-$V$37,$F$40-$V$40,SUM($F$52:$F$54)-SUM($V$52:$V$54)))),0))</f>
        <v>1444.521593368707</v>
      </c>
      <c r="Q263" s="22">
        <f>IF(IndexPlant=1,IF(SUM($F$29,$F$37,$F$40,$F$52:$F$54)&lt;&gt;0,$F263*((SUM(Q$29,Q$37,Q$40,Q$52:Q$54)/SUM($F$29,$F$37,$F$40,$F$52:$F$54))),0),IF(SUM($F$29,$F$37,$F$40,$F$52:$F$54)&lt;&gt;0,($F263-V263)*((SUM(Q$29,Q$37,Q$40,Q$52:Q$54)/SUM($F$29-$V$29,$F$37-$V$37,$F$40-$V$40,SUM($F$52:$F$54)-SUM($V$52:$V$54)))),0))</f>
        <v>1639.293652867568</v>
      </c>
      <c r="R263" s="22">
        <f>IF(IndexPlant=1,IF(SUM($F$29,$F$37,$F$40,$F$52:$F$54)&lt;&gt;0,$F263*((SUM(R$29,R$37,R$40,R$52:R$54)/SUM($F$29,$F$37,$F$40,$F$52:$F$54))),0),IF(SUM($F$29,$F$37,$F$40,$F$52:$F$54)&lt;&gt;0,($F263-V263)*((SUM(R$29,R$37,R$40,R$52:R$54)/SUM($F$29-$V$29,$F$37-$V$37,$F$40-$V$40,SUM($F$52:$F$54)-SUM($V$52:$V$54)))),0))</f>
        <v>481.40431200256592</v>
      </c>
      <c r="S263" s="22">
        <f>IF(IndexPlant=1,IF(SUM($F$29,$F$37,$F$40,$F$52:$F$54)&lt;&gt;0,$F263*((SUM(S$29,S$37,S$40,S$52:S$54)/SUM($F$29,$F$37,$F$40,$F$52:$F$54))),0),IF(SUM($F$29,$F$37,$F$40,$F$52:$F$54)&lt;&gt;0,($F263-V263)*((SUM(S$29,S$37,S$40,S$52:S$54)/SUM($F$29-$V$29,$F$37-$V$37,$F$40-$V$40,SUM($F$52:$F$54)-SUM($V$52:$V$54)))),0))</f>
        <v>1468.1665099997172</v>
      </c>
      <c r="T263" s="22">
        <f>IF(IndexPlant=1,IF(SUM($F$29,$F$37,$F$40,$F$52:$F$54)&lt;&gt;0,$F263*((SUM(T$29,T$37,T$40,T$52:T$54)/SUM($F$29,$F$37,$F$40,$F$52:$F$54))),0),IF(SUM($F$29,$F$37,$F$40,$F$52:$F$54)&lt;&gt;0,($F263-V263)*((SUM(T$29,T$37,T$40,T$52:T$54)/SUM($F$29-$V$29,$F$37-$V$37,$F$40-$V$40,SUM($F$52:$F$54)-SUM($V$52:$V$54)))),0))</f>
        <v>410.76954566461262</v>
      </c>
      <c r="U263" s="22">
        <f>IF(IndexPlant=1,IF(SUM($F$29,$F$37,$F$40,$F$52:$F$54)&lt;&gt;0,$F263*((SUM(U$29,U$37,U$40,U$52:U$54)/SUM($F$29,$F$37,$F$40,$F$52:$F$54))),0),IF(SUM($F$29,$F$37,$F$40,$F$52:$F$54)&lt;&gt;0,($F263-V263)*((SUM(U$29,U$37,U$40,U$52:U$54)/SUM($F$29-$V$29,$F$37-$V$37,$F$40-$V$40,SUM($F$52:$F$54)-SUM($V$52:$V$54)))),0))</f>
        <v>8895.5910591563061</v>
      </c>
      <c r="V263" s="22">
        <v>0</v>
      </c>
      <c r="X263" s="6"/>
      <c r="Y263" s="6"/>
      <c r="Z263" s="25"/>
      <c r="AA263" s="6"/>
      <c r="AB263" s="6"/>
      <c r="AC263" s="1" t="str">
        <f t="shared" si="49"/>
        <v>Property Insurance</v>
      </c>
      <c r="AD263" s="6"/>
      <c r="AE263" s="22">
        <v>0</v>
      </c>
      <c r="AF263" s="22">
        <v>0</v>
      </c>
      <c r="AG263" s="6"/>
      <c r="AH263" s="6" t="str">
        <f>IF(IndexPlant=1,"Prorated on Prod., Trans. Terminal, Dist. Sub &amp; General Plant in Service - Sch G 2.2  L."&amp;D29&amp;", "&amp;D37&amp;", "&amp;D40&amp;", "&amp;D52&amp;" - "&amp;D54&amp;" (C5","Prorated on Prod., Trans. Terminal, Dist. Sub &amp; General Plant in Service - Sch G 2.2  L."&amp;D29&amp;", "&amp;D37&amp;", "&amp;D40&amp;", "&amp;D52&amp;" - "&amp;D54)</f>
        <v>Prorated on Prod., Trans. Terminal, Dist. Sub &amp; General Plant in Service - Sch G 2.2  L.15, 22, 24, 36 - 38</v>
      </c>
      <c r="AI263" s="6"/>
    </row>
    <row r="264" spans="1:35" ht="16.5" x14ac:dyDescent="0.3">
      <c r="A264" s="28"/>
      <c r="B264" s="28"/>
      <c r="C264" s="73"/>
      <c r="D264" s="1"/>
      <c r="E264" s="17" t="s">
        <v>156</v>
      </c>
      <c r="F264" s="34"/>
      <c r="G264" s="22"/>
      <c r="H264" s="22"/>
      <c r="I264" s="76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X264" s="6"/>
      <c r="Y264" s="6"/>
      <c r="Z264" s="25"/>
      <c r="AA264" s="6"/>
      <c r="AB264" s="6"/>
      <c r="AC264" s="17" t="str">
        <f t="shared" si="49"/>
        <v>Revenue-Related:</v>
      </c>
      <c r="AD264" s="6"/>
      <c r="AE264" s="22"/>
      <c r="AF264" s="22"/>
      <c r="AG264" s="6"/>
      <c r="AH264" s="27" t="str">
        <f>IF(IndexPlant=1,"    &amp; 18 then prorated on indexed plant).","")</f>
        <v/>
      </c>
      <c r="AI264" s="6"/>
    </row>
    <row r="265" spans="1:35" ht="16.5" x14ac:dyDescent="0.3">
      <c r="A265" s="28"/>
      <c r="B265" s="28"/>
      <c r="C265" s="73"/>
      <c r="D265" s="1">
        <f t="shared" ref="D265:D270" si="70">MAX(D262:D264)+NoOne</f>
        <v>25</v>
      </c>
      <c r="E265" s="75" t="s">
        <v>157</v>
      </c>
      <c r="F265" s="22">
        <v>1436329.2993722465</v>
      </c>
      <c r="G265" s="22">
        <v>0</v>
      </c>
      <c r="H265" s="22">
        <v>0</v>
      </c>
      <c r="I265" s="22">
        <v>0</v>
      </c>
      <c r="J265" s="22">
        <v>0</v>
      </c>
      <c r="K265" s="22">
        <v>0</v>
      </c>
      <c r="L265" s="22">
        <v>0</v>
      </c>
      <c r="M265" s="22">
        <v>0</v>
      </c>
      <c r="N265" s="22">
        <v>0</v>
      </c>
      <c r="O265" s="22">
        <v>0</v>
      </c>
      <c r="P265" s="22">
        <v>0</v>
      </c>
      <c r="Q265" s="22">
        <v>0</v>
      </c>
      <c r="R265" s="22">
        <v>0</v>
      </c>
      <c r="S265" s="22">
        <v>0</v>
      </c>
      <c r="T265" s="22">
        <v>0</v>
      </c>
      <c r="U265" s="22">
        <v>0</v>
      </c>
      <c r="V265" s="22">
        <v>0</v>
      </c>
      <c r="X265" s="6"/>
      <c r="Y265" s="6"/>
      <c r="Z265" s="25"/>
      <c r="AA265" s="6"/>
      <c r="AB265" s="6"/>
      <c r="AC265" s="75" t="str">
        <f t="shared" si="49"/>
        <v>Municipal Tax</v>
      </c>
      <c r="AD265" s="6"/>
      <c r="AE265" s="22">
        <f>+F265</f>
        <v>1436329.2993722465</v>
      </c>
      <c r="AF265" s="22">
        <v>0</v>
      </c>
      <c r="AG265" s="6"/>
      <c r="AH265" s="6" t="s">
        <v>158</v>
      </c>
      <c r="AI265" s="6"/>
    </row>
    <row r="266" spans="1:35" ht="16.5" x14ac:dyDescent="0.3">
      <c r="A266" s="28"/>
      <c r="B266" s="28"/>
      <c r="C266" s="73"/>
      <c r="D266" s="1">
        <f t="shared" si="70"/>
        <v>26</v>
      </c>
      <c r="E266" s="75" t="s">
        <v>159</v>
      </c>
      <c r="F266" s="22">
        <v>977601.02825796138</v>
      </c>
      <c r="G266" s="22">
        <v>0</v>
      </c>
      <c r="H266" s="22">
        <v>0</v>
      </c>
      <c r="I266" s="22">
        <v>0</v>
      </c>
      <c r="J266" s="22">
        <v>0</v>
      </c>
      <c r="K266" s="22">
        <v>0</v>
      </c>
      <c r="L266" s="22">
        <v>0</v>
      </c>
      <c r="M266" s="22">
        <v>0</v>
      </c>
      <c r="N266" s="22">
        <v>0</v>
      </c>
      <c r="O266" s="22">
        <v>0</v>
      </c>
      <c r="P266" s="22">
        <v>0</v>
      </c>
      <c r="Q266" s="22">
        <v>0</v>
      </c>
      <c r="R266" s="22">
        <v>0</v>
      </c>
      <c r="S266" s="22">
        <v>0</v>
      </c>
      <c r="T266" s="22">
        <v>0</v>
      </c>
      <c r="U266" s="22">
        <v>0</v>
      </c>
      <c r="V266" s="22">
        <v>0</v>
      </c>
      <c r="X266" s="6"/>
      <c r="Y266" s="6"/>
      <c r="Z266" s="25"/>
      <c r="AA266" s="6"/>
      <c r="AB266" s="6"/>
      <c r="AC266" s="75" t="str">
        <f t="shared" si="49"/>
        <v>PUB Assessment</v>
      </c>
      <c r="AD266" s="6"/>
      <c r="AE266" s="22">
        <v>0</v>
      </c>
      <c r="AF266" s="22">
        <f>+F266</f>
        <v>977601.02825796138</v>
      </c>
      <c r="AG266" s="6"/>
      <c r="AH266" s="6" t="s">
        <v>158</v>
      </c>
      <c r="AI266" s="6"/>
    </row>
    <row r="267" spans="1:35" ht="16.5" x14ac:dyDescent="0.3">
      <c r="A267" s="28"/>
      <c r="B267" s="26" t="str">
        <f>IF(OverheadAlloc="Expenses","E-GTDC","L-GTDC")</f>
        <v>E-GTDC</v>
      </c>
      <c r="C267" s="73"/>
      <c r="D267" s="1">
        <f t="shared" si="70"/>
        <v>27</v>
      </c>
      <c r="E267" s="17" t="s">
        <v>160</v>
      </c>
      <c r="F267" s="34">
        <v>28306854.152895022</v>
      </c>
      <c r="G267" s="22">
        <f>IF(IndexPlant=1,$F267*VLOOKUP($B267,RatiosIslInt,G$561,FALSE),($F$267-V267)*G565)</f>
        <v>13383508.493256219</v>
      </c>
      <c r="H267" s="22">
        <f>IF(IndexPlant=1,$F267*VLOOKUP($B267,RatiosIslInt,H$561,FALSE),($F$267-V267)*H565)</f>
        <v>4728466.4291516291</v>
      </c>
      <c r="I267" s="22">
        <v>5819405.0827714177</v>
      </c>
      <c r="J267" s="22">
        <f t="shared" ref="J267:U267" si="71">IF(IndexPlant=1,$F267*VLOOKUP($B267,RatiosIslInt,J$561,FALSE),($F$267-$V$267)*J565)</f>
        <v>808562.75214196777</v>
      </c>
      <c r="K267" s="22">
        <f t="shared" si="71"/>
        <v>543922.88484875532</v>
      </c>
      <c r="L267" s="22">
        <f t="shared" si="71"/>
        <v>1025833.1634840736</v>
      </c>
      <c r="M267" s="22">
        <f t="shared" si="71"/>
        <v>279864.56380637153</v>
      </c>
      <c r="N267" s="22">
        <f t="shared" si="71"/>
        <v>85542.512020997267</v>
      </c>
      <c r="O267" s="22">
        <f t="shared" si="71"/>
        <v>151417.35507317798</v>
      </c>
      <c r="P267" s="22">
        <f t="shared" si="71"/>
        <v>148208.57728305599</v>
      </c>
      <c r="Q267" s="22">
        <f t="shared" si="71"/>
        <v>168192.27982189978</v>
      </c>
      <c r="R267" s="22">
        <f t="shared" si="71"/>
        <v>49392.302965468654</v>
      </c>
      <c r="S267" s="22">
        <f t="shared" si="71"/>
        <v>151300.52110437764</v>
      </c>
      <c r="T267" s="22">
        <f t="shared" si="71"/>
        <v>42145.14357807894</v>
      </c>
      <c r="U267" s="22">
        <f t="shared" si="71"/>
        <v>921092.09158753487</v>
      </c>
      <c r="V267" s="22">
        <v>0</v>
      </c>
      <c r="X267" s="6"/>
      <c r="Y267" s="6"/>
      <c r="Z267" s="25"/>
      <c r="AA267" s="6"/>
      <c r="AB267" s="6"/>
      <c r="AC267" s="17" t="str">
        <f t="shared" si="49"/>
        <v xml:space="preserve">All Expense-Related </v>
      </c>
      <c r="AD267" s="6"/>
      <c r="AE267" s="22">
        <v>0</v>
      </c>
      <c r="AF267" s="22">
        <v>0</v>
      </c>
      <c r="AG267" s="6"/>
      <c r="AH267" s="27" t="str">
        <f>"Prorated on Subtotal Production, Transmission, Distribution, Accounting Expenses - L "&amp;$D$250&amp;", "&amp;$D$252</f>
        <v>Prorated on Subtotal Production, Transmission, Distribution, Accounting Expenses - L 15, 16</v>
      </c>
      <c r="AI267" s="6"/>
    </row>
    <row r="268" spans="1:35" ht="33" x14ac:dyDescent="0.3">
      <c r="A268" s="28"/>
      <c r="B268" s="26" t="str">
        <f>IF(OverheadAlloc="Expenses","E-GTD","L-GTD")</f>
        <v>E-GTD</v>
      </c>
      <c r="C268" s="73"/>
      <c r="D268" s="1">
        <f t="shared" si="70"/>
        <v>28</v>
      </c>
      <c r="E268" s="77" t="s">
        <v>161</v>
      </c>
      <c r="F268" s="23">
        <v>525391.64708819729</v>
      </c>
      <c r="G268" s="22">
        <f>IF(IndexPlant=1,$F268*VLOOKUP($B268,RatiosIslInt,G$561,FALSE),($F$268-V268)*G566)</f>
        <v>256760.55883891115</v>
      </c>
      <c r="H268" s="22">
        <f>IF(IndexPlant=1,$F268*VLOOKUP($B268,RatiosIslInt,H$561,FALSE),($F$268-V268)*H566)</f>
        <v>90714.903600335019</v>
      </c>
      <c r="I268" s="22">
        <v>111644.39443627912</v>
      </c>
      <c r="J268" s="22">
        <f>IF(IndexPlant=1,$F268*VLOOKUP($B268,RatiosIslInt,J$561,FALSE),($F$268-V268)*J566)</f>
        <v>15512.152452468663</v>
      </c>
      <c r="K268" s="22">
        <f>IF(IndexPlant=1,$F268*VLOOKUP($B268,RatiosIslInt,K$561,FALSE),($F$268-V268)*K566)</f>
        <v>10435.077166007031</v>
      </c>
      <c r="L268" s="22">
        <f>IF(IndexPlant=1,$F268*VLOOKUP($B268,RatiosIslInt,L$561,FALSE),($F$268-V268)*L566)</f>
        <v>19680.45198793571</v>
      </c>
      <c r="M268" s="22">
        <f>IF(IndexPlant=1,$F268*VLOOKUP($B268,RatiosIslInt,M$561,FALSE),($F$268-V268)*M566)</f>
        <v>5369.1587552203137</v>
      </c>
      <c r="N268" s="22">
        <f>IF(IndexPlant=1,$F268*VLOOKUP($B268,RatiosIslInt,N$561,FALSE),($F$268-V268)*N566)</f>
        <v>1641.1199800159193</v>
      </c>
      <c r="O268" s="22">
        <f>IF(IndexPlant=1,$F268*VLOOKUP($B268,RatiosIslInt,O$561,FALSE),($F$268-V268)*O566)</f>
        <v>2904.9187457899516</v>
      </c>
      <c r="P268" s="22">
        <f>IF(IndexPlant=1,$F268*VLOOKUP($B268,RatiosIslInt,P$561,FALSE),($F$268-V268)*P566)</f>
        <v>2843.3588357710828</v>
      </c>
      <c r="Q268" s="22">
        <f>IF(IndexPlant=1,$F268*VLOOKUP($B268,RatiosIslInt,Q$561,FALSE),($F$268-V268)*Q566)</f>
        <v>3226.7431056080663</v>
      </c>
      <c r="R268" s="22">
        <f>IF(IndexPlant=1,$F268*VLOOKUP($B268,RatiosIslInt,R$561,FALSE),($F$268-V268)*R566)</f>
        <v>947.58376087591955</v>
      </c>
      <c r="S268" s="22">
        <f>IF(IndexPlant=1,$F268*VLOOKUP($B268,RatiosIslInt,S$561,FALSE),($F$268-V268)*S566)</f>
        <v>2902.677304008399</v>
      </c>
      <c r="T268" s="22">
        <f>IF(IndexPlant=1,$F268*VLOOKUP($B268,RatiosIslInt,T$561,FALSE),($F$268-V268)*T566)</f>
        <v>808.54811897092372</v>
      </c>
      <c r="U268" s="22">
        <f>$F268*VLOOKUP($B268,RatiosIslInt,U$561,FALSE)</f>
        <v>0</v>
      </c>
      <c r="V268" s="22">
        <v>0</v>
      </c>
      <c r="X268" s="6"/>
      <c r="Y268" s="6"/>
      <c r="Z268" s="16"/>
      <c r="AA268" s="6"/>
      <c r="AB268" s="6"/>
      <c r="AC268" s="77" t="str">
        <f t="shared" si="49"/>
        <v xml:space="preserve">Prod, Trans, and Distn Expense-Related </v>
      </c>
      <c r="AD268" s="6"/>
      <c r="AE268" s="22">
        <v>0</v>
      </c>
      <c r="AF268" s="22">
        <v>0</v>
      </c>
      <c r="AG268" s="6"/>
      <c r="AH268" s="27" t="str">
        <f>"Prorated on Subtotal Production, Transmission, Distribution  Expenses - L "&amp;D250</f>
        <v>Prorated on Subtotal Production, Transmission, Distribution  Expenses - L 15</v>
      </c>
      <c r="AI268" s="6"/>
    </row>
    <row r="269" spans="1:35" ht="16.5" x14ac:dyDescent="0.3">
      <c r="A269" s="28">
        <f>SUM(G269:AF269)-F269</f>
        <v>0</v>
      </c>
      <c r="B269" s="28"/>
      <c r="C269" s="29"/>
      <c r="D269" s="1">
        <f t="shared" si="70"/>
        <v>29</v>
      </c>
      <c r="E269" s="20" t="s">
        <v>162</v>
      </c>
      <c r="F269" s="30">
        <f>SUM(F256:F268)</f>
        <v>52628248.161387637</v>
      </c>
      <c r="G269" s="30">
        <f>SUM(G256:G268)</f>
        <v>22499474.164078891</v>
      </c>
      <c r="H269" s="30">
        <f>SUM(H256:H268)</f>
        <v>8447302.5719465781</v>
      </c>
      <c r="I269" s="30">
        <f>SUM(I256:I268)</f>
        <v>10973058.473551029</v>
      </c>
      <c r="J269" s="30">
        <f t="shared" ref="J269:V269" si="72">SUM(J256:J268)</f>
        <v>1564131.8973241409</v>
      </c>
      <c r="K269" s="30">
        <f t="shared" si="72"/>
        <v>1177013.4694341552</v>
      </c>
      <c r="L269" s="30">
        <f t="shared" si="72"/>
        <v>2299316.5361824525</v>
      </c>
      <c r="M269" s="30">
        <f t="shared" si="72"/>
        <v>627292.27554502792</v>
      </c>
      <c r="N269" s="30">
        <f t="shared" si="72"/>
        <v>191736.16084748355</v>
      </c>
      <c r="O269" s="30">
        <f t="shared" si="72"/>
        <v>339388.93845302495</v>
      </c>
      <c r="P269" s="30">
        <f t="shared" si="72"/>
        <v>332196.73986129265</v>
      </c>
      <c r="Q269" s="30">
        <f t="shared" si="72"/>
        <v>376988.48508588353</v>
      </c>
      <c r="R269" s="30">
        <f t="shared" si="72"/>
        <v>110708.58596822782</v>
      </c>
      <c r="S269" s="30">
        <f t="shared" si="72"/>
        <v>250631.88304257524</v>
      </c>
      <c r="T269" s="30">
        <f t="shared" si="72"/>
        <v>94464.703421888451</v>
      </c>
      <c r="U269" s="30">
        <f t="shared" si="72"/>
        <v>930612.9490147786</v>
      </c>
      <c r="V269" s="30">
        <f t="shared" si="72"/>
        <v>0</v>
      </c>
      <c r="X269" s="6"/>
      <c r="Y269" s="6"/>
      <c r="Z269" s="25"/>
      <c r="AA269" s="6"/>
      <c r="AB269" s="6"/>
      <c r="AC269" s="20" t="str">
        <f t="shared" si="49"/>
        <v>Subtotal Admin &amp; General</v>
      </c>
      <c r="AD269" s="6"/>
      <c r="AE269" s="30">
        <f>SUM(AE256:AE268)</f>
        <v>1436329.2993722465</v>
      </c>
      <c r="AF269" s="30">
        <f>SUM(AF256:AF268)</f>
        <v>977601.02825796138</v>
      </c>
      <c r="AG269" s="6"/>
      <c r="AH269" s="6"/>
      <c r="AI269" s="6"/>
    </row>
    <row r="270" spans="1:35" ht="33.75" thickBot="1" x14ac:dyDescent="0.35">
      <c r="A270" s="28">
        <f>SUM(G270:AF270)-F270</f>
        <v>0</v>
      </c>
      <c r="B270" s="28"/>
      <c r="C270" s="29" t="s">
        <v>39</v>
      </c>
      <c r="D270" s="1">
        <f t="shared" si="70"/>
        <v>30</v>
      </c>
      <c r="E270" s="39" t="s">
        <v>163</v>
      </c>
      <c r="F270" s="62">
        <f>SUM(F269,F252,F250)</f>
        <v>120418337.08183235</v>
      </c>
      <c r="G270" s="62">
        <f>SUM(G269,G252,G250)</f>
        <v>54298911.797054633</v>
      </c>
      <c r="H270" s="62">
        <f>SUM(H269,H252,H250)</f>
        <v>19682217.048161283</v>
      </c>
      <c r="I270" s="62">
        <f>SUM(I269,I252,I250)</f>
        <v>24800061.24220904</v>
      </c>
      <c r="J270" s="62">
        <f t="shared" ref="J270:V270" si="73">SUM(J269,J252,J250)</f>
        <v>3485290.3754647272</v>
      </c>
      <c r="K270" s="62">
        <f t="shared" si="73"/>
        <v>2469383.2439676193</v>
      </c>
      <c r="L270" s="62">
        <f t="shared" si="73"/>
        <v>4736713.1067818049</v>
      </c>
      <c r="M270" s="62">
        <f t="shared" si="73"/>
        <v>1292255.1099860144</v>
      </c>
      <c r="N270" s="62">
        <f t="shared" si="73"/>
        <v>394986.58485628938</v>
      </c>
      <c r="O270" s="62">
        <f t="shared" si="73"/>
        <v>699159.07956556487</v>
      </c>
      <c r="P270" s="62">
        <f t="shared" si="73"/>
        <v>684342.77184979548</v>
      </c>
      <c r="Q270" s="62">
        <f t="shared" si="73"/>
        <v>776616.12497115787</v>
      </c>
      <c r="R270" s="62">
        <f t="shared" si="73"/>
        <v>228065.51509416613</v>
      </c>
      <c r="S270" s="62">
        <f t="shared" si="73"/>
        <v>610124.42471202812</v>
      </c>
      <c r="T270" s="62">
        <f t="shared" si="73"/>
        <v>194602.26192676296</v>
      </c>
      <c r="U270" s="62">
        <f t="shared" si="73"/>
        <v>3119142.9996680859</v>
      </c>
      <c r="V270" s="62">
        <f t="shared" si="73"/>
        <v>532535.06793316943</v>
      </c>
      <c r="X270" s="6"/>
      <c r="Y270" s="6"/>
      <c r="Z270" s="58"/>
      <c r="AA270" s="6"/>
      <c r="AB270" s="6"/>
      <c r="AC270" s="39" t="str">
        <f t="shared" si="49"/>
        <v>Total Operating &amp; Maintenance Expenses</v>
      </c>
      <c r="AD270" s="6"/>
      <c r="AE270" s="62">
        <f>SUM(AE269,AE252,AE250)</f>
        <v>1436329.2993722465</v>
      </c>
      <c r="AF270" s="62">
        <f>SUM(AF269,AF252,AF250)</f>
        <v>977601.02825796138</v>
      </c>
      <c r="AG270" s="6"/>
      <c r="AH270" s="6"/>
      <c r="AI270" s="6"/>
    </row>
    <row r="271" spans="1:35" ht="17.25" thickTop="1" x14ac:dyDescent="0.3">
      <c r="A271" s="28"/>
      <c r="B271" s="28"/>
      <c r="C271" s="26"/>
      <c r="D271" s="1"/>
      <c r="E271" s="6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</row>
    <row r="272" spans="1:35" ht="16.5" x14ac:dyDescent="0.3">
      <c r="A272" s="28"/>
      <c r="B272" s="28"/>
      <c r="C272" s="26"/>
      <c r="D272" s="1"/>
      <c r="E272" s="57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42" t="s">
        <v>491</v>
      </c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7" t="s">
        <v>491</v>
      </c>
    </row>
    <row r="273" spans="1:35" ht="16.5" x14ac:dyDescent="0.3">
      <c r="A273" s="28"/>
      <c r="B273" s="28"/>
      <c r="C273" s="26"/>
      <c r="D273" s="1"/>
      <c r="E273" s="6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42" t="s">
        <v>3</v>
      </c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7" t="s">
        <v>4</v>
      </c>
    </row>
    <row r="274" spans="1:35" ht="16.5" x14ac:dyDescent="0.3">
      <c r="A274" s="28"/>
      <c r="B274" s="28"/>
      <c r="C274" s="26"/>
      <c r="D274" s="1"/>
      <c r="E274" s="6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</row>
    <row r="275" spans="1:35" ht="16.5" x14ac:dyDescent="0.3">
      <c r="A275" s="43"/>
      <c r="B275" s="43"/>
      <c r="C275" s="44"/>
      <c r="D275" s="8" t="str">
        <f>D5</f>
        <v>NEWFOUNDLAND AND LABRADOR HYDRO</v>
      </c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10"/>
      <c r="X275" s="6"/>
      <c r="Y275" s="6"/>
      <c r="AA275" s="9" t="s">
        <v>6</v>
      </c>
      <c r="AB275" s="9"/>
      <c r="AC275" s="10"/>
      <c r="AD275" s="9"/>
      <c r="AE275" s="9"/>
      <c r="AF275" s="9"/>
      <c r="AG275" s="9"/>
      <c r="AH275" s="11"/>
      <c r="AI275" s="11"/>
    </row>
    <row r="276" spans="1:35" ht="16.5" x14ac:dyDescent="0.3">
      <c r="A276" s="43"/>
      <c r="B276" s="43"/>
      <c r="C276" s="44"/>
      <c r="D276" s="8" t="str">
        <f>D6</f>
        <v>2027 Test Year Cost of Service Study (No Rate Mitigation)</v>
      </c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10"/>
      <c r="X276" s="6"/>
      <c r="Y276" s="6"/>
      <c r="AA276" s="9" t="str">
        <f>RunName</f>
        <v>2027 Test Year Cost of Service Study (No Rate Mitigation)</v>
      </c>
      <c r="AB276" s="9"/>
      <c r="AC276" s="10"/>
      <c r="AD276" s="9"/>
      <c r="AE276" s="9"/>
      <c r="AF276" s="9"/>
      <c r="AG276" s="9"/>
      <c r="AH276" s="11"/>
      <c r="AI276" s="11"/>
    </row>
    <row r="277" spans="1:35" ht="16.5" x14ac:dyDescent="0.3">
      <c r="A277" s="43"/>
      <c r="B277" s="43"/>
      <c r="C277" s="44"/>
      <c r="D277" s="8" t="str">
        <f>$B$1</f>
        <v>Island Interconnected</v>
      </c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10"/>
      <c r="X277" s="6"/>
      <c r="Y277" s="6"/>
      <c r="AA277" s="9" t="str">
        <f>$B$1</f>
        <v>Island Interconnected</v>
      </c>
      <c r="AB277" s="9"/>
      <c r="AC277" s="10"/>
      <c r="AD277" s="9"/>
      <c r="AE277" s="9"/>
      <c r="AF277" s="9"/>
      <c r="AG277" s="9"/>
      <c r="AH277" s="11"/>
      <c r="AI277" s="11"/>
    </row>
    <row r="278" spans="1:35" ht="16.5" x14ac:dyDescent="0.3">
      <c r="A278" s="43"/>
      <c r="B278" s="43"/>
      <c r="C278" s="44"/>
      <c r="D278" s="8" t="s">
        <v>165</v>
      </c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10"/>
      <c r="X278" s="6"/>
      <c r="Y278" s="6"/>
      <c r="AA278" s="9" t="str">
        <f>+D278&amp;" (CONT'D.)"</f>
        <v>Functional Classification of Revenue Requirement (CONT'D.)</v>
      </c>
      <c r="AB278" s="9"/>
      <c r="AC278" s="10"/>
      <c r="AD278" s="9"/>
      <c r="AE278" s="9"/>
      <c r="AF278" s="9"/>
      <c r="AG278" s="9"/>
      <c r="AH278" s="11"/>
      <c r="AI278" s="11"/>
    </row>
    <row r="279" spans="1:35" ht="16.5" x14ac:dyDescent="0.3">
      <c r="A279" s="28"/>
      <c r="B279" s="28"/>
      <c r="C279" s="26"/>
      <c r="D279" s="1"/>
      <c r="E279" s="6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</row>
    <row r="280" spans="1:35" ht="16.5" x14ac:dyDescent="0.3">
      <c r="A280" s="45"/>
      <c r="B280" s="45"/>
      <c r="C280" s="45"/>
      <c r="D280" s="1"/>
      <c r="E280" s="1">
        <f t="shared" ref="E280:V280" si="74">MAX(D280)+NoOne</f>
        <v>1</v>
      </c>
      <c r="F280" s="1">
        <f t="shared" si="74"/>
        <v>2</v>
      </c>
      <c r="G280" s="1">
        <f t="shared" si="74"/>
        <v>3</v>
      </c>
      <c r="H280" s="1">
        <f t="shared" si="74"/>
        <v>4</v>
      </c>
      <c r="I280" s="1">
        <f t="shared" si="74"/>
        <v>5</v>
      </c>
      <c r="J280" s="1">
        <f t="shared" si="74"/>
        <v>6</v>
      </c>
      <c r="K280" s="1">
        <f t="shared" si="74"/>
        <v>7</v>
      </c>
      <c r="L280" s="1">
        <f t="shared" si="74"/>
        <v>8</v>
      </c>
      <c r="M280" s="1">
        <f t="shared" si="74"/>
        <v>9</v>
      </c>
      <c r="N280" s="1">
        <f t="shared" si="74"/>
        <v>10</v>
      </c>
      <c r="O280" s="1">
        <f t="shared" si="74"/>
        <v>11</v>
      </c>
      <c r="P280" s="1">
        <f t="shared" si="74"/>
        <v>12</v>
      </c>
      <c r="Q280" s="1">
        <f t="shared" si="74"/>
        <v>13</v>
      </c>
      <c r="R280" s="1">
        <f t="shared" si="74"/>
        <v>14</v>
      </c>
      <c r="S280" s="1">
        <f t="shared" si="74"/>
        <v>15</v>
      </c>
      <c r="T280" s="1">
        <f t="shared" si="74"/>
        <v>16</v>
      </c>
      <c r="U280" s="1">
        <f t="shared" si="74"/>
        <v>17</v>
      </c>
      <c r="V280" s="1">
        <f t="shared" si="74"/>
        <v>18</v>
      </c>
      <c r="X280" s="6"/>
      <c r="Y280" s="6"/>
      <c r="Z280" s="6"/>
      <c r="AA280" s="6"/>
      <c r="AB280" s="6"/>
      <c r="AC280" s="1">
        <f>MAX(AB280)+NoOne</f>
        <v>1</v>
      </c>
      <c r="AD280" s="13"/>
      <c r="AE280" s="1">
        <f>MAX(V280)+NoOne</f>
        <v>19</v>
      </c>
      <c r="AF280" s="1">
        <f>MAX(AE280)+NoOne</f>
        <v>20</v>
      </c>
      <c r="AG280" s="13"/>
      <c r="AH280" s="1">
        <f>MAX(AF280)+NoOne</f>
        <v>21</v>
      </c>
      <c r="AI280" s="6"/>
    </row>
    <row r="281" spans="1:35" s="12" customFormat="1" ht="16.5" x14ac:dyDescent="0.3">
      <c r="A281" s="45"/>
      <c r="B281" s="45"/>
      <c r="C281" s="46"/>
      <c r="D281" s="1"/>
      <c r="E281" s="13"/>
      <c r="F281" s="25"/>
      <c r="G281" s="13"/>
      <c r="H281" s="25"/>
      <c r="I281" s="13"/>
      <c r="J281" s="13" t="s">
        <v>8</v>
      </c>
      <c r="K281" s="47" t="s">
        <v>9</v>
      </c>
      <c r="L281" s="47"/>
      <c r="M281" s="47"/>
      <c r="N281" s="47"/>
      <c r="O281" s="47"/>
      <c r="P281" s="47"/>
      <c r="Q281" s="47"/>
      <c r="R281" s="47"/>
      <c r="S281" s="47"/>
      <c r="T281" s="47"/>
      <c r="U281" s="23"/>
      <c r="V281" s="25" t="s">
        <v>10</v>
      </c>
      <c r="X281" s="13"/>
      <c r="Y281" s="13"/>
      <c r="Z281" s="13"/>
      <c r="AA281" s="13"/>
      <c r="AB281" s="13"/>
      <c r="AE281" s="78" t="s">
        <v>135</v>
      </c>
      <c r="AF281" s="78"/>
      <c r="AI281" s="13"/>
    </row>
    <row r="282" spans="1:35" s="12" customFormat="1" ht="16.5" x14ac:dyDescent="0.3">
      <c r="A282" s="45"/>
      <c r="B282" s="45"/>
      <c r="C282" s="46"/>
      <c r="D282" s="1" t="s">
        <v>14</v>
      </c>
      <c r="E282" s="13"/>
      <c r="F282" s="25" t="s">
        <v>15</v>
      </c>
      <c r="G282" s="13" t="s">
        <v>16</v>
      </c>
      <c r="H282" s="25" t="s">
        <v>16</v>
      </c>
      <c r="I282" s="13" t="s">
        <v>17</v>
      </c>
      <c r="J282" s="25" t="s">
        <v>17</v>
      </c>
      <c r="K282" s="25" t="s">
        <v>18</v>
      </c>
      <c r="L282" s="47" t="s">
        <v>19</v>
      </c>
      <c r="M282" s="47"/>
      <c r="N282" s="47" t="s">
        <v>20</v>
      </c>
      <c r="O282" s="47"/>
      <c r="P282" s="47" t="s">
        <v>21</v>
      </c>
      <c r="Q282" s="47"/>
      <c r="R282" s="48" t="s">
        <v>22</v>
      </c>
      <c r="S282" s="48" t="s">
        <v>23</v>
      </c>
      <c r="T282" s="49" t="s">
        <v>24</v>
      </c>
      <c r="U282" s="48" t="s">
        <v>25</v>
      </c>
      <c r="V282" s="25" t="s">
        <v>26</v>
      </c>
      <c r="X282" s="13"/>
      <c r="Y282" s="13"/>
      <c r="Z282" s="13"/>
      <c r="AA282" s="13"/>
      <c r="AB282" s="13"/>
      <c r="AC282" s="13"/>
      <c r="AD282" s="13"/>
      <c r="AE282" s="13" t="s">
        <v>136</v>
      </c>
      <c r="AF282" s="13" t="s">
        <v>137</v>
      </c>
      <c r="AG282" s="13"/>
      <c r="AH282" s="13"/>
      <c r="AI282" s="13"/>
    </row>
    <row r="283" spans="1:35" s="12" customFormat="1" ht="16.5" x14ac:dyDescent="0.3">
      <c r="A283" s="79"/>
      <c r="B283" s="79"/>
      <c r="C283" s="46"/>
      <c r="D283" s="1" t="s">
        <v>30</v>
      </c>
      <c r="E283" s="75" t="s">
        <v>31</v>
      </c>
      <c r="F283" s="25" t="s">
        <v>32</v>
      </c>
      <c r="G283" s="25" t="s">
        <v>33</v>
      </c>
      <c r="H283" s="25" t="s">
        <v>34</v>
      </c>
      <c r="I283" s="13" t="s">
        <v>33</v>
      </c>
      <c r="J283" s="25" t="s">
        <v>33</v>
      </c>
      <c r="K283" s="25" t="s">
        <v>33</v>
      </c>
      <c r="L283" s="25" t="s">
        <v>33</v>
      </c>
      <c r="M283" s="25" t="s">
        <v>35</v>
      </c>
      <c r="N283" s="25" t="s">
        <v>33</v>
      </c>
      <c r="O283" s="25" t="s">
        <v>35</v>
      </c>
      <c r="P283" s="25" t="s">
        <v>33</v>
      </c>
      <c r="Q283" s="25" t="s">
        <v>35</v>
      </c>
      <c r="R283" s="25" t="s">
        <v>35</v>
      </c>
      <c r="S283" s="25" t="s">
        <v>35</v>
      </c>
      <c r="T283" s="25" t="s">
        <v>35</v>
      </c>
      <c r="U283" s="25" t="s">
        <v>35</v>
      </c>
      <c r="V283" s="25" t="s">
        <v>35</v>
      </c>
      <c r="X283" s="13"/>
      <c r="Y283" s="13"/>
      <c r="Z283" s="13"/>
      <c r="AA283" s="13"/>
      <c r="AB283" s="13"/>
      <c r="AC283" s="75" t="s">
        <v>31</v>
      </c>
      <c r="AD283" s="13"/>
      <c r="AE283" s="13" t="s">
        <v>138</v>
      </c>
      <c r="AF283" s="13" t="s">
        <v>139</v>
      </c>
      <c r="AG283" s="13"/>
      <c r="AH283" s="17" t="s">
        <v>36</v>
      </c>
      <c r="AI283" s="13"/>
    </row>
    <row r="284" spans="1:35" s="12" customFormat="1" ht="16.5" x14ac:dyDescent="0.3">
      <c r="A284" s="45"/>
      <c r="B284" s="45"/>
      <c r="C284" s="46"/>
      <c r="D284" s="1"/>
      <c r="E284" s="13"/>
      <c r="F284" s="25" t="s">
        <v>37</v>
      </c>
      <c r="G284" s="25" t="s">
        <v>37</v>
      </c>
      <c r="H284" s="25" t="s">
        <v>37</v>
      </c>
      <c r="I284" s="13" t="s">
        <v>37</v>
      </c>
      <c r="J284" s="25" t="s">
        <v>37</v>
      </c>
      <c r="K284" s="25" t="s">
        <v>37</v>
      </c>
      <c r="L284" s="25" t="s">
        <v>37</v>
      </c>
      <c r="M284" s="25" t="s">
        <v>37</v>
      </c>
      <c r="N284" s="25" t="s">
        <v>37</v>
      </c>
      <c r="O284" s="25" t="s">
        <v>37</v>
      </c>
      <c r="P284" s="25" t="s">
        <v>37</v>
      </c>
      <c r="Q284" s="25" t="s">
        <v>37</v>
      </c>
      <c r="R284" s="25" t="s">
        <v>37</v>
      </c>
      <c r="S284" s="25" t="s">
        <v>37</v>
      </c>
      <c r="T284" s="25" t="s">
        <v>37</v>
      </c>
      <c r="U284" s="25" t="s">
        <v>37</v>
      </c>
      <c r="V284" s="25" t="s">
        <v>37</v>
      </c>
      <c r="X284" s="13"/>
      <c r="Y284" s="13"/>
      <c r="Z284" s="13"/>
      <c r="AA284" s="13"/>
      <c r="AB284" s="13"/>
      <c r="AC284" s="13"/>
      <c r="AD284" s="13"/>
      <c r="AF284" s="13"/>
      <c r="AG284" s="13"/>
      <c r="AH284" s="13"/>
      <c r="AI284" s="13"/>
    </row>
    <row r="285" spans="1:35" ht="16.5" x14ac:dyDescent="0.3">
      <c r="A285" s="28"/>
      <c r="B285" s="28"/>
      <c r="C285" s="26"/>
      <c r="D285" s="1"/>
      <c r="E285" s="20" t="s">
        <v>166</v>
      </c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X285" s="6"/>
      <c r="Y285" s="6"/>
      <c r="Z285" s="6"/>
      <c r="AA285" s="6"/>
      <c r="AB285" s="6"/>
      <c r="AC285" s="1" t="str">
        <f t="shared" ref="AC285:AC322" si="75">IF(ISBLANK(E285),"",E285)</f>
        <v>Expenses</v>
      </c>
      <c r="AD285" s="20"/>
      <c r="AF285" s="6"/>
      <c r="AG285" s="6"/>
      <c r="AH285" s="6"/>
      <c r="AI285" s="6"/>
    </row>
    <row r="286" spans="1:35" ht="16.5" x14ac:dyDescent="0.3">
      <c r="A286" s="28"/>
      <c r="B286" s="28"/>
      <c r="C286" s="26"/>
      <c r="D286" s="1">
        <f t="shared" ref="D286:D299" si="76">MAX(D283:D285)+NoOne</f>
        <v>1</v>
      </c>
      <c r="E286" s="17" t="s">
        <v>167</v>
      </c>
      <c r="F286" s="22">
        <f>SUM(G286:AF286)</f>
        <v>120418337.08183236</v>
      </c>
      <c r="G286" s="22">
        <f>G$270</f>
        <v>54298911.797054633</v>
      </c>
      <c r="H286" s="22">
        <f>H$270</f>
        <v>19682217.048161283</v>
      </c>
      <c r="I286" s="22">
        <f>I$270</f>
        <v>24800061.24220904</v>
      </c>
      <c r="J286" s="22">
        <f t="shared" ref="J286:V286" si="77">J$270</f>
        <v>3485290.3754647272</v>
      </c>
      <c r="K286" s="22">
        <f t="shared" si="77"/>
        <v>2469383.2439676193</v>
      </c>
      <c r="L286" s="22">
        <f t="shared" si="77"/>
        <v>4736713.1067818049</v>
      </c>
      <c r="M286" s="22">
        <f t="shared" si="77"/>
        <v>1292255.1099860144</v>
      </c>
      <c r="N286" s="22">
        <f t="shared" si="77"/>
        <v>394986.58485628938</v>
      </c>
      <c r="O286" s="22">
        <f t="shared" si="77"/>
        <v>699159.07956556487</v>
      </c>
      <c r="P286" s="22">
        <f t="shared" si="77"/>
        <v>684342.77184979548</v>
      </c>
      <c r="Q286" s="22">
        <f t="shared" si="77"/>
        <v>776616.12497115787</v>
      </c>
      <c r="R286" s="22">
        <f t="shared" si="77"/>
        <v>228065.51509416613</v>
      </c>
      <c r="S286" s="22">
        <f t="shared" si="77"/>
        <v>610124.42471202812</v>
      </c>
      <c r="T286" s="22">
        <f t="shared" si="77"/>
        <v>194602.26192676296</v>
      </c>
      <c r="U286" s="22">
        <f t="shared" si="77"/>
        <v>3119142.9996680859</v>
      </c>
      <c r="V286" s="22">
        <f t="shared" si="77"/>
        <v>532535.06793316943</v>
      </c>
      <c r="X286" s="6"/>
      <c r="Y286" s="6"/>
      <c r="Z286" s="25"/>
      <c r="AA286" s="6"/>
      <c r="AB286" s="6"/>
      <c r="AC286" s="75" t="str">
        <f t="shared" si="75"/>
        <v>Operating &amp; Maintenance</v>
      </c>
      <c r="AD286" s="75"/>
      <c r="AE286" s="22">
        <f>AE$270</f>
        <v>1436329.2993722465</v>
      </c>
      <c r="AF286" s="22">
        <f>AF$270</f>
        <v>977601.02825796138</v>
      </c>
      <c r="AG286" s="6"/>
      <c r="AH286" s="6" t="str">
        <f>"Carryforward from Sch G 2.4 L."&amp;D270</f>
        <v>Carryforward from Sch G 2.4 L.30</v>
      </c>
      <c r="AI286" s="6"/>
    </row>
    <row r="287" spans="1:35" ht="16.5" x14ac:dyDescent="0.3">
      <c r="A287" s="28"/>
      <c r="B287" s="28"/>
      <c r="C287" s="26" t="s">
        <v>168</v>
      </c>
      <c r="D287" s="1">
        <f t="shared" si="76"/>
        <v>2</v>
      </c>
      <c r="E287" s="27" t="s">
        <v>169</v>
      </c>
      <c r="F287" s="22">
        <v>65010009.147377841</v>
      </c>
      <c r="G287" s="23">
        <v>0</v>
      </c>
      <c r="H287" s="23">
        <v>65010009.147377841</v>
      </c>
      <c r="I287" s="22">
        <v>0</v>
      </c>
      <c r="J287" s="22">
        <v>0</v>
      </c>
      <c r="K287" s="22">
        <v>0</v>
      </c>
      <c r="L287" s="22">
        <v>0</v>
      </c>
      <c r="M287" s="22">
        <v>0</v>
      </c>
      <c r="N287" s="22">
        <v>0</v>
      </c>
      <c r="O287" s="22">
        <v>0</v>
      </c>
      <c r="P287" s="22">
        <v>0</v>
      </c>
      <c r="Q287" s="22">
        <v>0</v>
      </c>
      <c r="R287" s="22">
        <v>0</v>
      </c>
      <c r="S287" s="22">
        <v>0</v>
      </c>
      <c r="T287" s="22">
        <v>0</v>
      </c>
      <c r="U287" s="22">
        <v>0</v>
      </c>
      <c r="V287" s="22">
        <v>0</v>
      </c>
      <c r="X287" s="6"/>
      <c r="Y287" s="6"/>
      <c r="Z287" s="25"/>
      <c r="AA287" s="6"/>
      <c r="AB287" s="6"/>
      <c r="AC287" s="75" t="str">
        <f t="shared" si="75"/>
        <v>Fuels-No. 6 Fuel</v>
      </c>
      <c r="AD287" s="75"/>
      <c r="AE287" s="22">
        <v>0</v>
      </c>
      <c r="AF287" s="22">
        <v>0</v>
      </c>
      <c r="AG287" s="6"/>
      <c r="AH287" s="6" t="s">
        <v>580</v>
      </c>
      <c r="AI287" s="6"/>
    </row>
    <row r="288" spans="1:35" ht="16.5" x14ac:dyDescent="0.3">
      <c r="A288" s="28"/>
      <c r="B288" s="28"/>
      <c r="C288" s="26" t="s">
        <v>170</v>
      </c>
      <c r="D288" s="1">
        <f t="shared" si="76"/>
        <v>3</v>
      </c>
      <c r="E288" s="27" t="s">
        <v>171</v>
      </c>
      <c r="F288" s="22">
        <v>2016430.2221431979</v>
      </c>
      <c r="G288" s="23">
        <v>2016430.2221431979</v>
      </c>
      <c r="H288" s="23">
        <v>0</v>
      </c>
      <c r="I288" s="22">
        <v>0</v>
      </c>
      <c r="J288" s="23">
        <v>0</v>
      </c>
      <c r="K288" s="22">
        <v>0</v>
      </c>
      <c r="L288" s="22">
        <v>0</v>
      </c>
      <c r="M288" s="22">
        <v>0</v>
      </c>
      <c r="N288" s="22">
        <v>0</v>
      </c>
      <c r="O288" s="22">
        <v>0</v>
      </c>
      <c r="P288" s="22">
        <v>0</v>
      </c>
      <c r="Q288" s="22">
        <v>0</v>
      </c>
      <c r="R288" s="22">
        <v>0</v>
      </c>
      <c r="S288" s="22">
        <v>0</v>
      </c>
      <c r="T288" s="22">
        <v>0</v>
      </c>
      <c r="U288" s="22">
        <v>0</v>
      </c>
      <c r="V288" s="22">
        <v>0</v>
      </c>
      <c r="X288" s="6"/>
      <c r="Y288" s="6"/>
      <c r="Z288" s="25"/>
      <c r="AA288" s="6"/>
      <c r="AB288" s="6"/>
      <c r="AC288" s="75" t="str">
        <f t="shared" si="75"/>
        <v>Fuels-Diesel</v>
      </c>
      <c r="AD288" s="75"/>
      <c r="AE288" s="22">
        <v>0</v>
      </c>
      <c r="AF288" s="22">
        <v>0</v>
      </c>
      <c r="AG288" s="6"/>
      <c r="AH288" s="6" t="s">
        <v>581</v>
      </c>
      <c r="AI288" s="6"/>
    </row>
    <row r="289" spans="1:35" ht="16.5" x14ac:dyDescent="0.3">
      <c r="A289" s="28"/>
      <c r="B289" s="28"/>
      <c r="C289" s="26" t="s">
        <v>172</v>
      </c>
      <c r="D289" s="1">
        <f t="shared" si="76"/>
        <v>4</v>
      </c>
      <c r="E289" s="27" t="s">
        <v>173</v>
      </c>
      <c r="F289" s="22">
        <v>18829333.461108193</v>
      </c>
      <c r="G289" s="23">
        <v>18829333.461108193</v>
      </c>
      <c r="H289" s="23">
        <v>0</v>
      </c>
      <c r="I289" s="22">
        <v>0</v>
      </c>
      <c r="J289" s="22">
        <v>0</v>
      </c>
      <c r="K289" s="22">
        <v>0</v>
      </c>
      <c r="L289" s="22">
        <v>0</v>
      </c>
      <c r="M289" s="22">
        <v>0</v>
      </c>
      <c r="N289" s="22">
        <v>0</v>
      </c>
      <c r="O289" s="22">
        <v>0</v>
      </c>
      <c r="P289" s="22">
        <v>0</v>
      </c>
      <c r="Q289" s="22">
        <v>0</v>
      </c>
      <c r="R289" s="22">
        <v>0</v>
      </c>
      <c r="S289" s="22">
        <v>0</v>
      </c>
      <c r="T289" s="22">
        <v>0</v>
      </c>
      <c r="U289" s="22">
        <v>0</v>
      </c>
      <c r="V289" s="22">
        <v>0</v>
      </c>
      <c r="X289" s="6"/>
      <c r="Y289" s="6"/>
      <c r="Z289" s="25"/>
      <c r="AA289" s="6"/>
      <c r="AB289" s="6"/>
      <c r="AC289" s="75" t="str">
        <f t="shared" si="75"/>
        <v>Fuels-Gas Turbine</v>
      </c>
      <c r="AD289" s="75"/>
      <c r="AE289" s="22">
        <v>0</v>
      </c>
      <c r="AF289" s="22">
        <v>0</v>
      </c>
      <c r="AG289" s="6"/>
      <c r="AH289" s="6" t="s">
        <v>582</v>
      </c>
      <c r="AI289" s="6"/>
    </row>
    <row r="290" spans="1:35" ht="16.5" x14ac:dyDescent="0.3">
      <c r="A290" s="28"/>
      <c r="B290" s="28"/>
      <c r="C290" s="26"/>
      <c r="D290" s="1">
        <f t="shared" si="76"/>
        <v>5</v>
      </c>
      <c r="E290" s="27" t="s">
        <v>174</v>
      </c>
      <c r="F290" s="22">
        <v>0</v>
      </c>
      <c r="G290" s="23">
        <f>IF(MarginalCostSwitch,0,$F290)</f>
        <v>0</v>
      </c>
      <c r="H290" s="23">
        <f>F290-G290</f>
        <v>0</v>
      </c>
      <c r="I290" s="23">
        <v>0</v>
      </c>
      <c r="J290" s="22">
        <v>0</v>
      </c>
      <c r="K290" s="22">
        <v>0</v>
      </c>
      <c r="L290" s="22">
        <v>0</v>
      </c>
      <c r="M290" s="22">
        <v>0</v>
      </c>
      <c r="N290" s="22">
        <v>0</v>
      </c>
      <c r="O290" s="22">
        <v>0</v>
      </c>
      <c r="P290" s="22">
        <v>0</v>
      </c>
      <c r="Q290" s="22">
        <v>0</v>
      </c>
      <c r="R290" s="22">
        <v>0</v>
      </c>
      <c r="S290" s="22">
        <v>0</v>
      </c>
      <c r="T290" s="22">
        <v>0</v>
      </c>
      <c r="U290" s="22">
        <v>0</v>
      </c>
      <c r="V290" s="22">
        <v>0</v>
      </c>
      <c r="X290" s="6"/>
      <c r="Y290" s="6"/>
      <c r="Z290" s="25"/>
      <c r="AA290" s="6"/>
      <c r="AB290" s="6"/>
      <c r="AC290" s="75" t="str">
        <f t="shared" si="75"/>
        <v>Fuel Supply Deferral</v>
      </c>
      <c r="AD290" s="75"/>
      <c r="AE290" s="22">
        <v>0</v>
      </c>
      <c r="AF290" s="22">
        <v>0</v>
      </c>
      <c r="AG290" s="6"/>
      <c r="AH290" s="6"/>
      <c r="AI290" s="6"/>
    </row>
    <row r="291" spans="1:35" ht="16.5" customHeight="1" x14ac:dyDescent="0.3">
      <c r="A291" s="28"/>
      <c r="B291" s="28"/>
      <c r="C291" s="26"/>
      <c r="D291" s="1">
        <f t="shared" si="76"/>
        <v>6</v>
      </c>
      <c r="E291" s="80" t="s">
        <v>175</v>
      </c>
      <c r="F291" s="22">
        <f t="shared" ref="F291:F299" si="78">SUM(G291:AF291)</f>
        <v>0</v>
      </c>
      <c r="G291" s="22">
        <v>0</v>
      </c>
      <c r="H291" s="22">
        <v>0</v>
      </c>
      <c r="I291" s="22">
        <v>0</v>
      </c>
      <c r="J291" s="22">
        <v>0</v>
      </c>
      <c r="K291" s="22">
        <v>0</v>
      </c>
      <c r="L291" s="22">
        <v>0</v>
      </c>
      <c r="M291" s="22">
        <v>0</v>
      </c>
      <c r="N291" s="22">
        <v>0</v>
      </c>
      <c r="O291" s="22">
        <v>0</v>
      </c>
      <c r="P291" s="22">
        <v>0</v>
      </c>
      <c r="Q291" s="22">
        <v>0</v>
      </c>
      <c r="R291" s="22">
        <v>0</v>
      </c>
      <c r="S291" s="22">
        <v>0</v>
      </c>
      <c r="T291" s="22">
        <v>0</v>
      </c>
      <c r="U291" s="22">
        <v>0</v>
      </c>
      <c r="V291" s="22">
        <v>0</v>
      </c>
      <c r="X291" s="6"/>
      <c r="Y291" s="6"/>
      <c r="Z291" s="25"/>
      <c r="AA291" s="6"/>
      <c r="AB291" s="6"/>
      <c r="AC291" s="75" t="str">
        <f t="shared" si="75"/>
        <v>Power Purchases -CF(L)Co</v>
      </c>
      <c r="AD291" s="75"/>
      <c r="AE291" s="22">
        <v>0</v>
      </c>
      <c r="AF291" s="22">
        <v>0</v>
      </c>
      <c r="AG291" s="6"/>
      <c r="AH291" s="6"/>
      <c r="AI291" s="6"/>
    </row>
    <row r="292" spans="1:35" ht="16.5" x14ac:dyDescent="0.3">
      <c r="A292" s="28"/>
      <c r="B292" s="28"/>
      <c r="C292" s="26"/>
      <c r="D292" s="1">
        <f t="shared" si="76"/>
        <v>7</v>
      </c>
      <c r="E292" s="17" t="s">
        <v>176</v>
      </c>
      <c r="F292" s="22">
        <f t="shared" si="78"/>
        <v>60766345.572633706</v>
      </c>
      <c r="G292" s="22">
        <v>32646808.166082006</v>
      </c>
      <c r="H292" s="22">
        <v>27159537.4065517</v>
      </c>
      <c r="I292" s="22">
        <v>0</v>
      </c>
      <c r="J292" s="22">
        <v>960000</v>
      </c>
      <c r="K292" s="22">
        <v>0</v>
      </c>
      <c r="L292" s="22">
        <v>0</v>
      </c>
      <c r="M292" s="22">
        <v>0</v>
      </c>
      <c r="N292" s="22">
        <v>0</v>
      </c>
      <c r="O292" s="22">
        <v>0</v>
      </c>
      <c r="P292" s="22">
        <v>0</v>
      </c>
      <c r="Q292" s="22">
        <v>0</v>
      </c>
      <c r="R292" s="22">
        <v>0</v>
      </c>
      <c r="S292" s="22">
        <v>0</v>
      </c>
      <c r="T292" s="22">
        <v>0</v>
      </c>
      <c r="U292" s="22">
        <v>0</v>
      </c>
      <c r="V292" s="22">
        <v>0</v>
      </c>
      <c r="X292" s="6"/>
      <c r="Y292" s="6"/>
      <c r="Z292" s="25"/>
      <c r="AA292" s="6"/>
      <c r="AB292" s="6"/>
      <c r="AC292" s="75" t="str">
        <f t="shared" si="75"/>
        <v>Power Purchases-Other</v>
      </c>
      <c r="AD292" s="75"/>
      <c r="AE292" s="22">
        <v>0</v>
      </c>
      <c r="AF292" s="22">
        <v>0</v>
      </c>
      <c r="AG292" s="6"/>
      <c r="AH292" s="6" t="s">
        <v>586</v>
      </c>
      <c r="AI292" s="6"/>
    </row>
    <row r="293" spans="1:35" ht="16.5" x14ac:dyDescent="0.3">
      <c r="A293" s="28"/>
      <c r="B293" s="28"/>
      <c r="C293" s="26"/>
      <c r="D293" s="1">
        <f t="shared" si="76"/>
        <v>8</v>
      </c>
      <c r="E293" s="17" t="s">
        <v>177</v>
      </c>
      <c r="F293" s="22">
        <f t="shared" si="78"/>
        <v>269134555.84989369</v>
      </c>
      <c r="G293" s="22">
        <v>133794097.71196806</v>
      </c>
      <c r="H293" s="22">
        <v>135340458.13792562</v>
      </c>
      <c r="I293" s="22">
        <v>0</v>
      </c>
      <c r="J293" s="22">
        <v>0</v>
      </c>
      <c r="K293" s="22">
        <v>0</v>
      </c>
      <c r="L293" s="22">
        <v>0</v>
      </c>
      <c r="M293" s="22">
        <v>0</v>
      </c>
      <c r="N293" s="22">
        <v>0</v>
      </c>
      <c r="O293" s="22">
        <v>0</v>
      </c>
      <c r="P293" s="22">
        <v>0</v>
      </c>
      <c r="Q293" s="22">
        <v>0</v>
      </c>
      <c r="R293" s="22">
        <v>0</v>
      </c>
      <c r="S293" s="22">
        <v>0</v>
      </c>
      <c r="T293" s="22">
        <v>0</v>
      </c>
      <c r="U293" s="22">
        <v>0</v>
      </c>
      <c r="V293" s="22">
        <v>0</v>
      </c>
      <c r="X293" s="6"/>
      <c r="Y293" s="6"/>
      <c r="Z293" s="25"/>
      <c r="AA293" s="6"/>
      <c r="AB293" s="6"/>
      <c r="AC293" s="75" t="str">
        <f t="shared" si="75"/>
        <v>Power Purchases-MF</v>
      </c>
      <c r="AD293" s="75"/>
      <c r="AE293" s="22">
        <v>0</v>
      </c>
      <c r="AF293" s="22">
        <v>0</v>
      </c>
      <c r="AG293" s="6"/>
      <c r="AH293" s="6" t="s">
        <v>587</v>
      </c>
      <c r="AI293" s="6"/>
    </row>
    <row r="294" spans="1:35" ht="16.5" x14ac:dyDescent="0.3">
      <c r="A294" s="28"/>
      <c r="B294" s="28"/>
      <c r="C294" s="26"/>
      <c r="D294" s="1">
        <f t="shared" si="76"/>
        <v>9</v>
      </c>
      <c r="E294" s="17" t="s">
        <v>178</v>
      </c>
      <c r="F294" s="22">
        <f t="shared" si="78"/>
        <v>-40178593</v>
      </c>
      <c r="G294" s="22">
        <v>-19973869.876336504</v>
      </c>
      <c r="H294" s="22">
        <v>-20204723.123663496</v>
      </c>
      <c r="I294" s="22">
        <v>0</v>
      </c>
      <c r="J294" s="22">
        <v>0</v>
      </c>
      <c r="K294" s="22">
        <v>0</v>
      </c>
      <c r="L294" s="22">
        <v>0</v>
      </c>
      <c r="M294" s="22">
        <v>0</v>
      </c>
      <c r="N294" s="22">
        <v>0</v>
      </c>
      <c r="O294" s="22">
        <v>0</v>
      </c>
      <c r="P294" s="22">
        <v>0</v>
      </c>
      <c r="Q294" s="22">
        <v>0</v>
      </c>
      <c r="R294" s="22">
        <v>0</v>
      </c>
      <c r="S294" s="22">
        <v>0</v>
      </c>
      <c r="T294" s="22">
        <v>0</v>
      </c>
      <c r="U294" s="22">
        <v>0</v>
      </c>
      <c r="V294" s="22">
        <v>0</v>
      </c>
      <c r="X294" s="6"/>
      <c r="Y294" s="6"/>
      <c r="Z294" s="25"/>
      <c r="AA294" s="6"/>
      <c r="AB294" s="6"/>
      <c r="AC294" s="75" t="s">
        <v>178</v>
      </c>
      <c r="AD294" s="75"/>
      <c r="AE294" s="22">
        <v>0</v>
      </c>
      <c r="AF294" s="22">
        <v>0</v>
      </c>
      <c r="AG294" s="6"/>
      <c r="AH294" s="6"/>
      <c r="AI294" s="6"/>
    </row>
    <row r="295" spans="1:35" ht="16.5" x14ac:dyDescent="0.3">
      <c r="A295" s="28"/>
      <c r="B295" s="28"/>
      <c r="C295" s="81"/>
      <c r="D295" s="1">
        <f t="shared" si="76"/>
        <v>10</v>
      </c>
      <c r="E295" s="17" t="s">
        <v>179</v>
      </c>
      <c r="F295" s="22">
        <f t="shared" si="78"/>
        <v>46146683.150106318</v>
      </c>
      <c r="G295" s="22">
        <v>22940769.590034023</v>
      </c>
      <c r="H295" s="22">
        <v>23205913.560072295</v>
      </c>
      <c r="I295" s="22">
        <v>0</v>
      </c>
      <c r="J295" s="22">
        <v>0</v>
      </c>
      <c r="K295" s="22">
        <v>0</v>
      </c>
      <c r="L295" s="22">
        <v>0</v>
      </c>
      <c r="M295" s="22">
        <v>0</v>
      </c>
      <c r="N295" s="22">
        <v>0</v>
      </c>
      <c r="O295" s="22">
        <v>0</v>
      </c>
      <c r="P295" s="22">
        <v>0</v>
      </c>
      <c r="Q295" s="22">
        <v>0</v>
      </c>
      <c r="R295" s="22">
        <v>0</v>
      </c>
      <c r="S295" s="22">
        <v>0</v>
      </c>
      <c r="T295" s="22">
        <v>0</v>
      </c>
      <c r="U295" s="22">
        <v>0</v>
      </c>
      <c r="V295" s="22">
        <v>0</v>
      </c>
      <c r="X295" s="6"/>
      <c r="Y295" s="6"/>
      <c r="Z295" s="25"/>
      <c r="AA295" s="6"/>
      <c r="AB295" s="6"/>
      <c r="AC295" s="75" t="s">
        <v>179</v>
      </c>
      <c r="AD295" s="75"/>
      <c r="AE295" s="22">
        <v>0</v>
      </c>
      <c r="AF295" s="22">
        <v>0</v>
      </c>
      <c r="AG295" s="6"/>
      <c r="AH295" s="6"/>
      <c r="AI295" s="6"/>
    </row>
    <row r="296" spans="1:35" ht="16.5" x14ac:dyDescent="0.3">
      <c r="A296" s="28"/>
      <c r="B296" s="28"/>
      <c r="C296" s="26"/>
      <c r="D296" s="1">
        <f t="shared" si="76"/>
        <v>11</v>
      </c>
      <c r="E296" s="17" t="s">
        <v>180</v>
      </c>
      <c r="F296" s="22">
        <f t="shared" si="78"/>
        <v>465082406</v>
      </c>
      <c r="G296" s="22">
        <v>231205096.18685511</v>
      </c>
      <c r="H296" s="22">
        <v>233877309.81314489</v>
      </c>
      <c r="I296" s="22">
        <v>0</v>
      </c>
      <c r="J296" s="22">
        <v>0</v>
      </c>
      <c r="K296" s="22">
        <v>0</v>
      </c>
      <c r="L296" s="22">
        <v>0</v>
      </c>
      <c r="M296" s="22">
        <v>0</v>
      </c>
      <c r="N296" s="22">
        <v>0</v>
      </c>
      <c r="O296" s="22">
        <v>0</v>
      </c>
      <c r="P296" s="22">
        <v>0</v>
      </c>
      <c r="Q296" s="22">
        <v>0</v>
      </c>
      <c r="R296" s="22">
        <v>0</v>
      </c>
      <c r="S296" s="22">
        <v>0</v>
      </c>
      <c r="T296" s="22">
        <v>0</v>
      </c>
      <c r="U296" s="22">
        <v>0</v>
      </c>
      <c r="V296" s="22">
        <v>0</v>
      </c>
      <c r="X296" s="6"/>
      <c r="Y296" s="6"/>
      <c r="Z296" s="25"/>
      <c r="AA296" s="6"/>
      <c r="AB296" s="6"/>
      <c r="AC296" s="75" t="str">
        <f t="shared" si="75"/>
        <v>Power Purchases - LIL Costs</v>
      </c>
      <c r="AD296" s="75"/>
      <c r="AE296" s="22">
        <v>0</v>
      </c>
      <c r="AF296" s="22">
        <v>0</v>
      </c>
      <c r="AG296" s="6"/>
      <c r="AH296" s="6" t="s">
        <v>588</v>
      </c>
      <c r="AI296" s="6"/>
    </row>
    <row r="297" spans="1:35" ht="16.5" x14ac:dyDescent="0.3">
      <c r="A297" s="28"/>
      <c r="B297" s="28"/>
      <c r="C297" s="26"/>
      <c r="D297" s="1">
        <f t="shared" si="76"/>
        <v>12</v>
      </c>
      <c r="E297" s="17" t="s">
        <v>181</v>
      </c>
      <c r="F297" s="22">
        <f t="shared" si="78"/>
        <v>0</v>
      </c>
      <c r="G297" s="22">
        <v>0</v>
      </c>
      <c r="H297" s="22">
        <v>0</v>
      </c>
      <c r="I297" s="22">
        <v>0</v>
      </c>
      <c r="J297" s="22">
        <v>0</v>
      </c>
      <c r="K297" s="22">
        <v>0</v>
      </c>
      <c r="L297" s="22">
        <v>0</v>
      </c>
      <c r="M297" s="22">
        <v>0</v>
      </c>
      <c r="N297" s="22">
        <v>0</v>
      </c>
      <c r="O297" s="22">
        <v>0</v>
      </c>
      <c r="P297" s="22">
        <v>0</v>
      </c>
      <c r="Q297" s="22">
        <v>0</v>
      </c>
      <c r="R297" s="22">
        <v>0</v>
      </c>
      <c r="S297" s="22">
        <v>0</v>
      </c>
      <c r="T297" s="22">
        <v>0</v>
      </c>
      <c r="U297" s="22">
        <v>0</v>
      </c>
      <c r="V297" s="22">
        <v>0</v>
      </c>
      <c r="X297" s="6"/>
      <c r="Y297" s="6"/>
      <c r="Z297" s="25"/>
      <c r="AA297" s="6"/>
      <c r="AB297" s="6"/>
      <c r="AC297" s="75" t="s">
        <v>181</v>
      </c>
      <c r="AD297" s="75"/>
      <c r="AE297" s="22">
        <v>0</v>
      </c>
      <c r="AF297" s="22">
        <v>0</v>
      </c>
      <c r="AG297" s="6"/>
      <c r="AH297" s="6"/>
      <c r="AI297" s="6"/>
    </row>
    <row r="298" spans="1:35" ht="16.5" x14ac:dyDescent="0.3">
      <c r="A298" s="28"/>
      <c r="B298" s="28"/>
      <c r="C298" s="26"/>
      <c r="D298" s="1">
        <f t="shared" si="76"/>
        <v>13</v>
      </c>
      <c r="E298" s="17" t="s">
        <v>182</v>
      </c>
      <c r="F298" s="22">
        <f t="shared" si="78"/>
        <v>-18337593</v>
      </c>
      <c r="G298" s="22">
        <v>-9116115.5500696395</v>
      </c>
      <c r="H298" s="22">
        <v>-9221477.4499303605</v>
      </c>
      <c r="I298" s="22">
        <v>0</v>
      </c>
      <c r="J298" s="22">
        <v>0</v>
      </c>
      <c r="K298" s="22">
        <v>0</v>
      </c>
      <c r="L298" s="22">
        <v>0</v>
      </c>
      <c r="M298" s="22">
        <v>0</v>
      </c>
      <c r="N298" s="22">
        <v>0</v>
      </c>
      <c r="O298" s="22">
        <v>0</v>
      </c>
      <c r="P298" s="22">
        <v>0</v>
      </c>
      <c r="Q298" s="22">
        <v>0</v>
      </c>
      <c r="R298" s="22">
        <v>0</v>
      </c>
      <c r="S298" s="22">
        <v>0</v>
      </c>
      <c r="T298" s="22">
        <v>0</v>
      </c>
      <c r="U298" s="22">
        <v>0</v>
      </c>
      <c r="V298" s="22">
        <v>0</v>
      </c>
      <c r="X298" s="6"/>
      <c r="Y298" s="6"/>
      <c r="Z298" s="25"/>
      <c r="AA298" s="6"/>
      <c r="AB298" s="6"/>
      <c r="AC298" s="75" t="str">
        <f t="shared" si="75"/>
        <v>Tariff Revenue</v>
      </c>
      <c r="AD298" s="75"/>
      <c r="AE298" s="22">
        <v>0</v>
      </c>
      <c r="AF298" s="22">
        <v>0</v>
      </c>
      <c r="AG298" s="6"/>
      <c r="AH298" s="6" t="s">
        <v>589</v>
      </c>
      <c r="AI298" s="6"/>
    </row>
    <row r="299" spans="1:35" ht="16.5" x14ac:dyDescent="0.3">
      <c r="A299" s="28"/>
      <c r="B299" s="28"/>
      <c r="C299" s="26"/>
      <c r="D299" s="1">
        <f t="shared" si="76"/>
        <v>14</v>
      </c>
      <c r="E299" s="17" t="s">
        <v>183</v>
      </c>
      <c r="F299" s="22">
        <f t="shared" si="78"/>
        <v>100512134.62465674</v>
      </c>
      <c r="G299" s="22">
        <f>G$176</f>
        <v>52319166.561451606</v>
      </c>
      <c r="H299" s="22">
        <f>H$176</f>
        <v>16798495.832469974</v>
      </c>
      <c r="I299" s="22">
        <f>I$176</f>
        <v>17918113.565040622</v>
      </c>
      <c r="J299" s="22">
        <f t="shared" ref="J299:V299" si="79">J$176</f>
        <v>2388331.6272585248</v>
      </c>
      <c r="K299" s="22">
        <f t="shared" si="79"/>
        <v>1960361.1413475531</v>
      </c>
      <c r="L299" s="22">
        <f t="shared" si="79"/>
        <v>3655270.3788130232</v>
      </c>
      <c r="M299" s="22">
        <f t="shared" si="79"/>
        <v>1041484.3877793901</v>
      </c>
      <c r="N299" s="22">
        <f t="shared" si="79"/>
        <v>320771.345294956</v>
      </c>
      <c r="O299" s="22">
        <f t="shared" si="79"/>
        <v>567791.93807057315</v>
      </c>
      <c r="P299" s="22">
        <f t="shared" si="79"/>
        <v>534748.79599647108</v>
      </c>
      <c r="Q299" s="22">
        <f t="shared" si="79"/>
        <v>618154.85975814541</v>
      </c>
      <c r="R299" s="22">
        <f t="shared" si="79"/>
        <v>141705.85036828075</v>
      </c>
      <c r="S299" s="22">
        <f t="shared" si="79"/>
        <v>598613.46123453113</v>
      </c>
      <c r="T299" s="22">
        <f t="shared" si="79"/>
        <v>233200.20929882582</v>
      </c>
      <c r="U299" s="22">
        <f t="shared" si="79"/>
        <v>375104.71690050705</v>
      </c>
      <c r="V299" s="22">
        <f t="shared" si="79"/>
        <v>1040819.9535737608</v>
      </c>
      <c r="X299" s="6"/>
      <c r="Y299" s="6"/>
      <c r="Z299" s="25"/>
      <c r="AA299" s="6"/>
      <c r="AB299" s="6"/>
      <c r="AC299" s="75" t="str">
        <f t="shared" si="75"/>
        <v>Depreciation</v>
      </c>
      <c r="AD299" s="75"/>
      <c r="AE299" s="22">
        <f>AE$176</f>
        <v>0</v>
      </c>
      <c r="AF299" s="22">
        <f>AF$176</f>
        <v>0</v>
      </c>
      <c r="AG299" s="6"/>
      <c r="AH299" s="6" t="str">
        <f>+"Carryforward from Sch G 2.5 L."&amp;D176</f>
        <v>Carryforward from Sch G 2.5 L.42</v>
      </c>
      <c r="AI299" s="6"/>
    </row>
    <row r="300" spans="1:35" ht="16.5" x14ac:dyDescent="0.3">
      <c r="A300" s="28"/>
      <c r="B300" s="28"/>
      <c r="C300" s="26"/>
      <c r="D300" s="1"/>
      <c r="E300" s="6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X300" s="6"/>
      <c r="Y300" s="6"/>
      <c r="Z300" s="16"/>
      <c r="AA300" s="6"/>
      <c r="AB300" s="6"/>
      <c r="AC300" s="6" t="str">
        <f t="shared" si="75"/>
        <v/>
      </c>
      <c r="AD300" s="6"/>
      <c r="AE300" s="22"/>
      <c r="AF300" s="22"/>
      <c r="AG300" s="6"/>
      <c r="AH300" s="6"/>
      <c r="AI300" s="6"/>
    </row>
    <row r="301" spans="1:35" ht="16.5" x14ac:dyDescent="0.3">
      <c r="A301" s="28"/>
      <c r="B301" s="28"/>
      <c r="C301" s="26"/>
      <c r="D301" s="1"/>
      <c r="E301" s="21" t="s">
        <v>184</v>
      </c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X301" s="6"/>
      <c r="Y301" s="6"/>
      <c r="Z301" s="16"/>
      <c r="AA301" s="6"/>
      <c r="AB301" s="6"/>
      <c r="AC301" s="21" t="str">
        <f t="shared" si="75"/>
        <v>Expense Credits</v>
      </c>
      <c r="AD301" s="21"/>
      <c r="AE301" s="22"/>
      <c r="AF301" s="22"/>
      <c r="AG301" s="6"/>
      <c r="AH301" s="6"/>
      <c r="AI301" s="6"/>
    </row>
    <row r="302" spans="1:35" ht="16.5" x14ac:dyDescent="0.3">
      <c r="A302" s="28"/>
      <c r="B302" s="28"/>
      <c r="C302" s="26"/>
      <c r="D302" s="1">
        <f t="shared" ref="D302:D312" si="80">MAX(D299:D301)+NoOne</f>
        <v>15</v>
      </c>
      <c r="E302" s="17" t="s">
        <v>185</v>
      </c>
      <c r="F302" s="22">
        <v>-393846.29259448557</v>
      </c>
      <c r="G302" s="22">
        <f>IF(SUM($G$270:$AF$270)&lt;&gt;0,$F302*(G$270/SUM($G$270:$AF$270)),0)</f>
        <v>-177592.76221072633</v>
      </c>
      <c r="H302" s="22">
        <f>IF(SUM($G$270:$AF$270)&lt;&gt;0,$F302*(H$270/SUM($G$270:$AF$270)),0)</f>
        <v>-64373.652736878881</v>
      </c>
      <c r="I302" s="22">
        <f>IF(SUM($G$270:$AF$270)&lt;&gt;0,$F302*(I$270/SUM($G$270:$AF$270)),0)</f>
        <v>-81112.332332928738</v>
      </c>
      <c r="J302" s="22">
        <f t="shared" ref="J302:V302" si="81">IF(SUM($G$270:$AF$270)&lt;&gt;0,$F302*(J$270/SUM($G$270:$AF$270)),0)</f>
        <v>-11399.16665731071</v>
      </c>
      <c r="K302" s="22">
        <f t="shared" si="81"/>
        <v>-8076.4895048390572</v>
      </c>
      <c r="L302" s="22">
        <f t="shared" si="81"/>
        <v>-15492.133020587749</v>
      </c>
      <c r="M302" s="22">
        <f t="shared" si="81"/>
        <v>-4226.5148023793527</v>
      </c>
      <c r="N302" s="22">
        <f t="shared" si="81"/>
        <v>-1291.8630653775806</v>
      </c>
      <c r="O302" s="22">
        <f t="shared" si="81"/>
        <v>-2286.7049827597616</v>
      </c>
      <c r="P302" s="22">
        <f t="shared" si="81"/>
        <v>-2238.2460187414385</v>
      </c>
      <c r="Q302" s="22">
        <f t="shared" si="81"/>
        <v>-2540.0399058918138</v>
      </c>
      <c r="R302" s="22">
        <f t="shared" si="81"/>
        <v>-745.92258758272351</v>
      </c>
      <c r="S302" s="22">
        <f t="shared" si="81"/>
        <v>-1995.5037456702198</v>
      </c>
      <c r="T302" s="22">
        <f t="shared" si="81"/>
        <v>-636.47598237693876</v>
      </c>
      <c r="U302" s="22">
        <f t="shared" si="81"/>
        <v>-10201.626565034652</v>
      </c>
      <c r="V302" s="22">
        <f t="shared" si="81"/>
        <v>-1741.7360782810088</v>
      </c>
      <c r="X302" s="6"/>
      <c r="Y302" s="6"/>
      <c r="Z302" s="25"/>
      <c r="AA302" s="6"/>
      <c r="AB302" s="6"/>
      <c r="AC302" s="75" t="str">
        <f t="shared" si="75"/>
        <v xml:space="preserve">Sundry </v>
      </c>
      <c r="AD302" s="75"/>
      <c r="AE302" s="22">
        <f>IF(SUM($G$270:$AF$270)&lt;&gt;0,$F302*(AE$270/SUM($G$270:$AF$270)),0)</f>
        <v>-4697.7311197892377</v>
      </c>
      <c r="AF302" s="22">
        <f>IF(SUM($G$270:$AF$270)&lt;&gt;0,$F302*(AF$270/SUM($G$270:$AF$270)),0)</f>
        <v>-3197.3912773293396</v>
      </c>
      <c r="AG302" s="6"/>
      <c r="AH302" s="6" t="str">
        <f>+"Prorated on Total Operating &amp; Maintenance Expenses - Sch G 2.4 L."&amp;$D$270</f>
        <v>Prorated on Total Operating &amp; Maintenance Expenses - Sch G 2.4 L.30</v>
      </c>
      <c r="AI302" s="6"/>
    </row>
    <row r="303" spans="1:35" ht="16.5" x14ac:dyDescent="0.3">
      <c r="A303" s="28"/>
      <c r="B303" s="28"/>
      <c r="C303" s="26" t="s">
        <v>186</v>
      </c>
      <c r="D303" s="1">
        <f>MAX(D299:D302)+NoOne</f>
        <v>16</v>
      </c>
      <c r="E303" s="17" t="s">
        <v>187</v>
      </c>
      <c r="F303" s="22">
        <v>-1250000</v>
      </c>
      <c r="G303" s="22">
        <f>$F303*G294/SUM($G$294:$AF$294)</f>
        <v>-621408.95141401864</v>
      </c>
      <c r="H303" s="22">
        <f>$F303*H294/SUM($G$294:$AF$294)</f>
        <v>-628591.04858598136</v>
      </c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X303" s="6"/>
      <c r="Y303" s="6"/>
      <c r="Z303" s="25"/>
      <c r="AA303" s="6"/>
      <c r="AB303" s="6"/>
      <c r="AC303" s="75" t="s">
        <v>187</v>
      </c>
      <c r="AD303" s="75"/>
      <c r="AE303" s="22"/>
      <c r="AF303" s="22"/>
      <c r="AG303" s="6"/>
      <c r="AH303" s="6"/>
      <c r="AI303" s="6"/>
    </row>
    <row r="304" spans="1:35" ht="16.5" x14ac:dyDescent="0.3">
      <c r="A304" s="28"/>
      <c r="B304" s="28"/>
      <c r="C304" s="19" t="s">
        <v>188</v>
      </c>
      <c r="D304" s="1">
        <f>MAX(D300:D303)+NoOne</f>
        <v>17</v>
      </c>
      <c r="E304" s="17" t="s">
        <v>189</v>
      </c>
      <c r="F304" s="22">
        <v>-6000</v>
      </c>
      <c r="G304" s="22">
        <f t="shared" ref="G304:V304" si="82">$F304*G51/SUM($G$51:$AF$51)</f>
        <v>-2281.1511452054401</v>
      </c>
      <c r="H304" s="22">
        <f t="shared" si="82"/>
        <v>-1234.4032727606855</v>
      </c>
      <c r="I304" s="22">
        <f t="shared" si="82"/>
        <v>-1539.580470605395</v>
      </c>
      <c r="J304" s="22">
        <f t="shared" si="82"/>
        <v>-232.27272152326981</v>
      </c>
      <c r="K304" s="22">
        <f t="shared" si="82"/>
        <v>-119.78100698224456</v>
      </c>
      <c r="L304" s="22">
        <f t="shared" si="82"/>
        <v>-239.74106237464096</v>
      </c>
      <c r="M304" s="22">
        <f t="shared" si="82"/>
        <v>-65.405399470687584</v>
      </c>
      <c r="N304" s="22">
        <f t="shared" si="82"/>
        <v>-19.991606276850277</v>
      </c>
      <c r="O304" s="22">
        <f t="shared" si="82"/>
        <v>-35.386804462347172</v>
      </c>
      <c r="P304" s="22">
        <f t="shared" si="82"/>
        <v>-34.636901043632101</v>
      </c>
      <c r="Q304" s="22">
        <f t="shared" si="82"/>
        <v>-39.307167367026892</v>
      </c>
      <c r="R304" s="22">
        <f t="shared" si="82"/>
        <v>-11.543166674251729</v>
      </c>
      <c r="S304" s="22">
        <f t="shared" si="82"/>
        <v>-18.293911863123181</v>
      </c>
      <c r="T304" s="22">
        <f t="shared" si="82"/>
        <v>-9.8494783118768723</v>
      </c>
      <c r="U304" s="22">
        <f t="shared" si="82"/>
        <v>0</v>
      </c>
      <c r="V304" s="22">
        <f t="shared" si="82"/>
        <v>-118.65588507852826</v>
      </c>
      <c r="X304" s="6"/>
      <c r="Y304" s="6"/>
      <c r="Z304" s="25"/>
      <c r="AA304" s="6"/>
      <c r="AB304" s="6"/>
      <c r="AC304" s="75" t="str">
        <f t="shared" si="75"/>
        <v>Building Rental Income</v>
      </c>
      <c r="AD304" s="75"/>
      <c r="AE304" s="22">
        <v>0</v>
      </c>
      <c r="AF304" s="22">
        <v>0</v>
      </c>
      <c r="AG304" s="6"/>
      <c r="AH304" s="6" t="str">
        <f>+"Prorated on Production, Transmission &amp; Distribution Plant - Sch G 2.2 L."&amp;D51</f>
        <v>Prorated on Production, Transmission &amp; Distribution Plant - Sch G 2.2 L.35</v>
      </c>
      <c r="AI304" s="6"/>
    </row>
    <row r="305" spans="1:35" ht="16.5" x14ac:dyDescent="0.3">
      <c r="A305" s="28"/>
      <c r="B305" s="28"/>
      <c r="C305" s="26"/>
      <c r="D305" s="1">
        <f>MAX(D301:D304)+NoOne</f>
        <v>18</v>
      </c>
      <c r="E305" s="17" t="s">
        <v>190</v>
      </c>
      <c r="F305" s="22">
        <v>0</v>
      </c>
      <c r="G305" s="22">
        <f t="shared" ref="G305:V306" si="83">IF(SUM($G$270:$AF$270)&lt;&gt;0,$F305*(G$270/SUM($G$270:$AF$270)),0)</f>
        <v>0</v>
      </c>
      <c r="H305" s="22">
        <f t="shared" si="83"/>
        <v>0</v>
      </c>
      <c r="I305" s="22">
        <f t="shared" si="83"/>
        <v>0</v>
      </c>
      <c r="J305" s="22">
        <f t="shared" si="83"/>
        <v>0</v>
      </c>
      <c r="K305" s="22">
        <f t="shared" si="83"/>
        <v>0</v>
      </c>
      <c r="L305" s="22">
        <f t="shared" si="83"/>
        <v>0</v>
      </c>
      <c r="M305" s="22">
        <f t="shared" si="83"/>
        <v>0</v>
      </c>
      <c r="N305" s="22">
        <f t="shared" si="83"/>
        <v>0</v>
      </c>
      <c r="O305" s="22">
        <f t="shared" si="83"/>
        <v>0</v>
      </c>
      <c r="P305" s="22">
        <f t="shared" si="83"/>
        <v>0</v>
      </c>
      <c r="Q305" s="22">
        <f t="shared" si="83"/>
        <v>0</v>
      </c>
      <c r="R305" s="22">
        <f t="shared" si="83"/>
        <v>0</v>
      </c>
      <c r="S305" s="22">
        <f t="shared" si="83"/>
        <v>0</v>
      </c>
      <c r="T305" s="22">
        <f t="shared" si="83"/>
        <v>0</v>
      </c>
      <c r="U305" s="22">
        <f t="shared" si="83"/>
        <v>0</v>
      </c>
      <c r="V305" s="22">
        <f t="shared" si="83"/>
        <v>0</v>
      </c>
      <c r="X305" s="6"/>
      <c r="Y305" s="6"/>
      <c r="Z305" s="25"/>
      <c r="AA305" s="6"/>
      <c r="AB305" s="6"/>
      <c r="AC305" s="75" t="str">
        <f t="shared" si="75"/>
        <v>Tax Refunds</v>
      </c>
      <c r="AD305" s="75"/>
      <c r="AE305" s="22">
        <f>IF(SUM($G$270:$AF$270)&lt;&gt;0,$F305*(AE$270/SUM($G$270:$AF$270)),0)</f>
        <v>0</v>
      </c>
      <c r="AF305" s="22">
        <f>IF(SUM($G$270:$AF$270)&lt;&gt;0,$F305*(AF$270/SUM($G$270:$AF$270)),0)</f>
        <v>0</v>
      </c>
      <c r="AG305" s="6"/>
      <c r="AH305" s="6" t="str">
        <f>+"Prorated on Total Operating &amp; Maintenance Expenses - Sch G 2.4 L."&amp;$D$270</f>
        <v>Prorated on Total Operating &amp; Maintenance Expenses - Sch G 2.4 L.30</v>
      </c>
      <c r="AI305" s="6"/>
    </row>
    <row r="306" spans="1:35" ht="16.5" x14ac:dyDescent="0.3">
      <c r="A306" s="28"/>
      <c r="B306" s="28"/>
      <c r="C306" s="26"/>
      <c r="D306" s="1">
        <f>MAX(D302:D305)+NoOne</f>
        <v>19</v>
      </c>
      <c r="E306" s="17" t="s">
        <v>191</v>
      </c>
      <c r="F306" s="22">
        <v>0</v>
      </c>
      <c r="G306" s="22">
        <f t="shared" si="83"/>
        <v>0</v>
      </c>
      <c r="H306" s="22">
        <f t="shared" si="83"/>
        <v>0</v>
      </c>
      <c r="I306" s="22">
        <f t="shared" si="83"/>
        <v>0</v>
      </c>
      <c r="J306" s="22">
        <f t="shared" si="83"/>
        <v>0</v>
      </c>
      <c r="K306" s="22">
        <f t="shared" si="83"/>
        <v>0</v>
      </c>
      <c r="L306" s="22">
        <f t="shared" si="83"/>
        <v>0</v>
      </c>
      <c r="M306" s="22">
        <f t="shared" si="83"/>
        <v>0</v>
      </c>
      <c r="N306" s="22">
        <f t="shared" si="83"/>
        <v>0</v>
      </c>
      <c r="O306" s="22">
        <f t="shared" si="83"/>
        <v>0</v>
      </c>
      <c r="P306" s="22">
        <f t="shared" si="83"/>
        <v>0</v>
      </c>
      <c r="Q306" s="22">
        <f t="shared" si="83"/>
        <v>0</v>
      </c>
      <c r="R306" s="22">
        <f t="shared" si="83"/>
        <v>0</v>
      </c>
      <c r="S306" s="22">
        <f t="shared" si="83"/>
        <v>0</v>
      </c>
      <c r="T306" s="22">
        <f t="shared" si="83"/>
        <v>0</v>
      </c>
      <c r="U306" s="22">
        <f t="shared" si="83"/>
        <v>0</v>
      </c>
      <c r="V306" s="22">
        <f t="shared" si="83"/>
        <v>0</v>
      </c>
      <c r="X306" s="6"/>
      <c r="Y306" s="6"/>
      <c r="Z306" s="25"/>
      <c r="AA306" s="6"/>
      <c r="AB306" s="6"/>
      <c r="AC306" s="75" t="str">
        <f t="shared" si="75"/>
        <v>Suppliers' Discounts</v>
      </c>
      <c r="AD306" s="75"/>
      <c r="AE306" s="22">
        <f>IF(SUM($G$270:$AF$270)&lt;&gt;0,$F306*(AE$270/SUM($G$270:$AF$270)),0)</f>
        <v>0</v>
      </c>
      <c r="AF306" s="22">
        <f>IF(SUM($G$270:$AF$270)&lt;&gt;0,$F306*(AF$270/SUM($G$270:$AF$270)),0)</f>
        <v>0</v>
      </c>
      <c r="AG306" s="6"/>
      <c r="AH306" s="6" t="str">
        <f>+"Prorated on Total Operating &amp; Maintenance Expenses - Sch G 2.4 L."&amp;$D$270</f>
        <v>Prorated on Total Operating &amp; Maintenance Expenses - Sch G 2.4 L.30</v>
      </c>
      <c r="AI306" s="6"/>
    </row>
    <row r="307" spans="1:35" ht="16.5" x14ac:dyDescent="0.3">
      <c r="A307" s="28"/>
      <c r="B307" s="28"/>
      <c r="C307" s="19" t="s">
        <v>192</v>
      </c>
      <c r="D307" s="1">
        <f t="shared" si="80"/>
        <v>20</v>
      </c>
      <c r="E307" s="6" t="s">
        <v>193</v>
      </c>
      <c r="F307" s="22">
        <v>-1196656.1902277216</v>
      </c>
      <c r="G307" s="22">
        <v>0</v>
      </c>
      <c r="H307" s="22">
        <v>0</v>
      </c>
      <c r="I307" s="22">
        <v>0</v>
      </c>
      <c r="J307" s="22">
        <v>0</v>
      </c>
      <c r="K307" s="22">
        <v>0</v>
      </c>
      <c r="L307" s="22">
        <v>-692083.71430582227</v>
      </c>
      <c r="M307" s="22">
        <v>-236521.48931088965</v>
      </c>
      <c r="N307" s="22">
        <v>0</v>
      </c>
      <c r="O307" s="22">
        <v>0</v>
      </c>
      <c r="P307" s="22">
        <v>-122499.30088123139</v>
      </c>
      <c r="Q307" s="22">
        <v>-145551.68572977826</v>
      </c>
      <c r="R307" s="22">
        <v>0</v>
      </c>
      <c r="S307" s="22">
        <v>0</v>
      </c>
      <c r="T307" s="22">
        <v>0</v>
      </c>
      <c r="U307" s="22">
        <v>0</v>
      </c>
      <c r="V307" s="22">
        <v>0</v>
      </c>
      <c r="X307" s="6"/>
      <c r="Y307" s="6"/>
      <c r="Z307" s="25"/>
      <c r="AA307" s="6"/>
      <c r="AB307" s="6"/>
      <c r="AC307" s="75" t="str">
        <f t="shared" si="75"/>
        <v>Pole Attachments</v>
      </c>
      <c r="AD307" s="75"/>
      <c r="AE307" s="22">
        <v>0</v>
      </c>
      <c r="AF307" s="22">
        <v>0</v>
      </c>
      <c r="AG307" s="6"/>
      <c r="AH307" s="6" t="s">
        <v>583</v>
      </c>
      <c r="AI307" s="6"/>
    </row>
    <row r="308" spans="1:35" ht="16.5" x14ac:dyDescent="0.3">
      <c r="A308" s="28"/>
      <c r="B308" s="28"/>
      <c r="C308" s="19" t="s">
        <v>194</v>
      </c>
      <c r="D308" s="1">
        <f t="shared" si="80"/>
        <v>21</v>
      </c>
      <c r="E308" s="17" t="s">
        <v>195</v>
      </c>
      <c r="F308" s="22">
        <v>0</v>
      </c>
      <c r="G308" s="22">
        <v>0</v>
      </c>
      <c r="H308" s="22">
        <f>F308</f>
        <v>0</v>
      </c>
      <c r="I308" s="22">
        <v>0</v>
      </c>
      <c r="J308" s="22">
        <v>0</v>
      </c>
      <c r="K308" s="22">
        <v>0</v>
      </c>
      <c r="L308" s="22">
        <v>0</v>
      </c>
      <c r="M308" s="22">
        <v>0</v>
      </c>
      <c r="N308" s="22">
        <v>0</v>
      </c>
      <c r="O308" s="22">
        <v>0</v>
      </c>
      <c r="P308" s="22">
        <v>0</v>
      </c>
      <c r="Q308" s="22">
        <v>0</v>
      </c>
      <c r="R308" s="22">
        <v>0</v>
      </c>
      <c r="S308" s="22">
        <v>0</v>
      </c>
      <c r="T308" s="22">
        <v>0</v>
      </c>
      <c r="U308" s="22">
        <v>0</v>
      </c>
      <c r="V308" s="22">
        <v>0</v>
      </c>
      <c r="X308" s="6"/>
      <c r="Y308" s="6"/>
      <c r="Z308" s="25"/>
      <c r="AA308" s="6"/>
      <c r="AB308" s="6"/>
      <c r="AC308" s="75" t="str">
        <f t="shared" si="75"/>
        <v xml:space="preserve">Secondary Energy </v>
      </c>
      <c r="AD308" s="75"/>
      <c r="AE308" s="22">
        <v>0</v>
      </c>
      <c r="AF308" s="22">
        <v>0</v>
      </c>
      <c r="AG308" s="6"/>
      <c r="AH308" s="6" t="s">
        <v>196</v>
      </c>
      <c r="AI308" s="6"/>
    </row>
    <row r="309" spans="1:35" ht="16.5" x14ac:dyDescent="0.3">
      <c r="A309" s="28"/>
      <c r="B309" s="28"/>
      <c r="C309" s="19" t="s">
        <v>197</v>
      </c>
      <c r="D309" s="1">
        <f t="shared" si="80"/>
        <v>22</v>
      </c>
      <c r="E309" s="17" t="s">
        <v>198</v>
      </c>
      <c r="F309" s="22">
        <v>0</v>
      </c>
      <c r="G309" s="23">
        <v>0</v>
      </c>
      <c r="H309" s="23">
        <v>0</v>
      </c>
      <c r="I309" s="23">
        <v>0</v>
      </c>
      <c r="J309" s="23">
        <v>0</v>
      </c>
      <c r="K309" s="23">
        <v>0</v>
      </c>
      <c r="L309" s="23">
        <v>0</v>
      </c>
      <c r="M309" s="23">
        <v>0</v>
      </c>
      <c r="N309" s="23">
        <v>0</v>
      </c>
      <c r="O309" s="23">
        <v>0</v>
      </c>
      <c r="P309" s="23">
        <v>0</v>
      </c>
      <c r="Q309" s="23">
        <v>0</v>
      </c>
      <c r="R309" s="23">
        <v>0</v>
      </c>
      <c r="S309" s="23">
        <v>0</v>
      </c>
      <c r="T309" s="23">
        <v>0</v>
      </c>
      <c r="U309" s="23">
        <v>0</v>
      </c>
      <c r="V309" s="23">
        <v>0</v>
      </c>
      <c r="X309" s="6"/>
      <c r="Y309" s="6"/>
      <c r="Z309" s="25"/>
      <c r="AA309" s="6"/>
      <c r="AB309" s="6"/>
      <c r="AC309" s="75" t="str">
        <f t="shared" si="75"/>
        <v>Wheeling Revenues</v>
      </c>
      <c r="AD309" s="75"/>
      <c r="AE309" s="23">
        <v>0</v>
      </c>
      <c r="AF309" s="23">
        <v>0</v>
      </c>
      <c r="AG309" s="6"/>
      <c r="AH309" s="6" t="s">
        <v>199</v>
      </c>
      <c r="AI309" s="6"/>
    </row>
    <row r="310" spans="1:35" ht="16.5" x14ac:dyDescent="0.3">
      <c r="A310" s="28"/>
      <c r="B310" s="28"/>
      <c r="C310" s="19" t="s">
        <v>200</v>
      </c>
      <c r="D310" s="1">
        <f t="shared" si="80"/>
        <v>23</v>
      </c>
      <c r="E310" s="17" t="s">
        <v>201</v>
      </c>
      <c r="F310" s="22">
        <v>-10956</v>
      </c>
      <c r="G310" s="23">
        <v>0</v>
      </c>
      <c r="H310" s="23">
        <v>0</v>
      </c>
      <c r="I310" s="23">
        <v>0</v>
      </c>
      <c r="J310" s="23">
        <v>0</v>
      </c>
      <c r="K310" s="23">
        <v>0</v>
      </c>
      <c r="L310" s="23">
        <v>0</v>
      </c>
      <c r="M310" s="23">
        <v>0</v>
      </c>
      <c r="N310" s="23">
        <v>0</v>
      </c>
      <c r="O310" s="23">
        <v>0</v>
      </c>
      <c r="P310" s="23">
        <v>0</v>
      </c>
      <c r="Q310" s="23">
        <v>0</v>
      </c>
      <c r="R310" s="23">
        <v>0</v>
      </c>
      <c r="S310" s="23">
        <v>0</v>
      </c>
      <c r="T310" s="23">
        <v>0</v>
      </c>
      <c r="U310" s="23">
        <f>+F310</f>
        <v>-10956</v>
      </c>
      <c r="V310" s="23">
        <v>0</v>
      </c>
      <c r="X310" s="6"/>
      <c r="Y310" s="6"/>
      <c r="Z310" s="25"/>
      <c r="AA310" s="6"/>
      <c r="AB310" s="6"/>
      <c r="AC310" s="75" t="str">
        <f t="shared" si="75"/>
        <v>Application Fees</v>
      </c>
      <c r="AD310" s="75"/>
      <c r="AE310" s="23">
        <v>0</v>
      </c>
      <c r="AF310" s="23">
        <v>0</v>
      </c>
      <c r="AG310" s="6"/>
      <c r="AH310" s="6" t="s">
        <v>146</v>
      </c>
      <c r="AI310" s="6"/>
    </row>
    <row r="311" spans="1:35" ht="16.5" x14ac:dyDescent="0.3">
      <c r="A311" s="28"/>
      <c r="B311" s="28"/>
      <c r="C311" s="19"/>
      <c r="D311" s="1">
        <f t="shared" si="80"/>
        <v>24</v>
      </c>
      <c r="E311" s="17" t="s">
        <v>202</v>
      </c>
      <c r="F311" s="22">
        <v>0</v>
      </c>
      <c r="G311" s="23">
        <v>0</v>
      </c>
      <c r="H311" s="23">
        <v>0</v>
      </c>
      <c r="I311" s="23">
        <v>0</v>
      </c>
      <c r="J311" s="23">
        <v>0</v>
      </c>
      <c r="K311" s="23">
        <v>0</v>
      </c>
      <c r="L311" s="23">
        <v>0</v>
      </c>
      <c r="M311" s="23">
        <v>0</v>
      </c>
      <c r="N311" s="23">
        <v>0</v>
      </c>
      <c r="O311" s="23">
        <v>0</v>
      </c>
      <c r="P311" s="23">
        <v>0</v>
      </c>
      <c r="Q311" s="23">
        <v>0</v>
      </c>
      <c r="R311" s="23">
        <v>0</v>
      </c>
      <c r="S311" s="23">
        <f>+F311</f>
        <v>0</v>
      </c>
      <c r="T311" s="23">
        <v>0</v>
      </c>
      <c r="U311" s="23">
        <v>0</v>
      </c>
      <c r="V311" s="23">
        <v>0</v>
      </c>
      <c r="X311" s="6"/>
      <c r="Y311" s="6"/>
      <c r="Z311" s="25"/>
      <c r="AA311" s="6"/>
      <c r="AB311" s="6"/>
      <c r="AC311" s="75" t="str">
        <f t="shared" si="75"/>
        <v>Meter Test Revenues</v>
      </c>
      <c r="AD311" s="75"/>
      <c r="AE311" s="23">
        <v>0</v>
      </c>
      <c r="AF311" s="23">
        <v>0</v>
      </c>
      <c r="AG311" s="6"/>
      <c r="AH311" s="6" t="s">
        <v>88</v>
      </c>
      <c r="AI311" s="6"/>
    </row>
    <row r="312" spans="1:35" ht="16.5" x14ac:dyDescent="0.3">
      <c r="A312" s="28">
        <f>SUM(G312:AF312)-F312</f>
        <v>0</v>
      </c>
      <c r="B312" s="28"/>
      <c r="C312" s="29"/>
      <c r="D312" s="1">
        <f t="shared" si="80"/>
        <v>25</v>
      </c>
      <c r="E312" s="20" t="s">
        <v>203</v>
      </c>
      <c r="F312" s="30">
        <f>SUM(F302:F311)</f>
        <v>-2857458.4828222068</v>
      </c>
      <c r="G312" s="30">
        <f>SUM(G302:G311)</f>
        <v>-801282.86476995039</v>
      </c>
      <c r="H312" s="30">
        <f>SUM(H302:H311)</f>
        <v>-694199.10459562088</v>
      </c>
      <c r="I312" s="30">
        <f>SUM(I302:I311)</f>
        <v>-82651.912803534127</v>
      </c>
      <c r="J312" s="30">
        <f t="shared" ref="J312:V312" si="84">SUM(J302:J311)</f>
        <v>-11631.43937883398</v>
      </c>
      <c r="K312" s="30">
        <f t="shared" si="84"/>
        <v>-8196.2705118213016</v>
      </c>
      <c r="L312" s="30">
        <f t="shared" si="84"/>
        <v>-707815.58838878467</v>
      </c>
      <c r="M312" s="30">
        <f t="shared" si="84"/>
        <v>-240813.40951273969</v>
      </c>
      <c r="N312" s="30">
        <f t="shared" si="84"/>
        <v>-1311.8546716544308</v>
      </c>
      <c r="O312" s="30">
        <f t="shared" si="84"/>
        <v>-2322.0917872221089</v>
      </c>
      <c r="P312" s="30">
        <f t="shared" si="84"/>
        <v>-124772.18380101646</v>
      </c>
      <c r="Q312" s="30">
        <f t="shared" si="84"/>
        <v>-148131.03280303709</v>
      </c>
      <c r="R312" s="30">
        <f t="shared" si="84"/>
        <v>-757.46575425697529</v>
      </c>
      <c r="S312" s="30">
        <f t="shared" si="84"/>
        <v>-2013.797657533343</v>
      </c>
      <c r="T312" s="30">
        <f t="shared" si="84"/>
        <v>-646.32546068881561</v>
      </c>
      <c r="U312" s="30">
        <f t="shared" si="84"/>
        <v>-21157.626565034654</v>
      </c>
      <c r="V312" s="30">
        <f t="shared" si="84"/>
        <v>-1860.3919633595369</v>
      </c>
      <c r="X312" s="6"/>
      <c r="Y312" s="6"/>
      <c r="Z312" s="25"/>
      <c r="AA312" s="6"/>
      <c r="AB312" s="6"/>
      <c r="AC312" s="20" t="str">
        <f t="shared" si="75"/>
        <v xml:space="preserve">    Total Expense Credits</v>
      </c>
      <c r="AD312" s="20"/>
      <c r="AE312" s="30">
        <f>SUM(AE302:AE311)</f>
        <v>-4697.7311197892377</v>
      </c>
      <c r="AF312" s="30">
        <f>SUM(AF302:AF311)</f>
        <v>-3197.3912773293396</v>
      </c>
      <c r="AG312" s="6"/>
      <c r="AH312" s="6"/>
      <c r="AI312" s="6"/>
    </row>
    <row r="313" spans="1:35" ht="16.5" x14ac:dyDescent="0.3">
      <c r="A313" s="28"/>
      <c r="B313" s="28"/>
      <c r="C313" s="26"/>
      <c r="D313" s="1"/>
      <c r="E313" s="6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X313" s="6"/>
      <c r="Y313" s="6"/>
      <c r="Z313" s="16"/>
      <c r="AA313" s="6"/>
      <c r="AB313" s="6"/>
      <c r="AC313" s="6" t="str">
        <f t="shared" si="75"/>
        <v/>
      </c>
      <c r="AD313" s="6"/>
      <c r="AE313" s="34"/>
      <c r="AF313" s="34"/>
      <c r="AG313" s="6"/>
      <c r="AH313" s="6"/>
      <c r="AI313" s="6"/>
    </row>
    <row r="314" spans="1:35" ht="16.5" x14ac:dyDescent="0.3">
      <c r="A314" s="28">
        <f>SUM(G314:AF314)-F314</f>
        <v>0</v>
      </c>
      <c r="B314" s="28"/>
      <c r="C314" s="26"/>
      <c r="D314" s="1">
        <f>MAX(D311:D313)+NoOne</f>
        <v>26</v>
      </c>
      <c r="E314" s="20" t="s">
        <v>204</v>
      </c>
      <c r="F314" s="69">
        <f>SUM(F312,F286:F299)</f>
        <v>1086542590.6269298</v>
      </c>
      <c r="G314" s="69">
        <f t="shared" ref="G314:V314" si="85">SUM(G312,G286:G299)</f>
        <v>518159345.40552068</v>
      </c>
      <c r="H314" s="69">
        <f t="shared" si="85"/>
        <v>490953541.26751417</v>
      </c>
      <c r="I314" s="69">
        <f t="shared" si="85"/>
        <v>42635522.894446127</v>
      </c>
      <c r="J314" s="69">
        <f t="shared" si="85"/>
        <v>6821990.5633444171</v>
      </c>
      <c r="K314" s="69">
        <f t="shared" si="85"/>
        <v>4421548.1148033515</v>
      </c>
      <c r="L314" s="69">
        <f t="shared" si="85"/>
        <v>7684167.8972060438</v>
      </c>
      <c r="M314" s="69">
        <f t="shared" si="85"/>
        <v>2092926.088252665</v>
      </c>
      <c r="N314" s="69">
        <f t="shared" si="85"/>
        <v>714446.07547959103</v>
      </c>
      <c r="O314" s="69">
        <f t="shared" si="85"/>
        <v>1264628.9258489159</v>
      </c>
      <c r="P314" s="69">
        <f t="shared" si="85"/>
        <v>1094319.3840452502</v>
      </c>
      <c r="Q314" s="69">
        <f t="shared" si="85"/>
        <v>1246639.9519262663</v>
      </c>
      <c r="R314" s="69">
        <f t="shared" si="85"/>
        <v>369013.89970818989</v>
      </c>
      <c r="S314" s="69">
        <f t="shared" si="85"/>
        <v>1206724.0882890259</v>
      </c>
      <c r="T314" s="69">
        <f t="shared" si="85"/>
        <v>427156.14576489996</v>
      </c>
      <c r="U314" s="69">
        <f t="shared" si="85"/>
        <v>3473090.0900035584</v>
      </c>
      <c r="V314" s="69">
        <f t="shared" si="85"/>
        <v>1571494.6295435708</v>
      </c>
      <c r="X314" s="6"/>
      <c r="Y314" s="6"/>
      <c r="Z314" s="25"/>
      <c r="AA314" s="6"/>
      <c r="AB314" s="6"/>
      <c r="AC314" s="20" t="str">
        <f t="shared" si="75"/>
        <v>Subtotal Expenses</v>
      </c>
      <c r="AD314" s="20"/>
      <c r="AE314" s="69">
        <f>SUM(AE312,AE286:AE299)</f>
        <v>1431631.5682524573</v>
      </c>
      <c r="AF314" s="69">
        <f>SUM(AF312,AF286:AF299)</f>
        <v>974403.63698063209</v>
      </c>
      <c r="AG314" s="6"/>
      <c r="AH314" s="6"/>
      <c r="AI314" s="6"/>
    </row>
    <row r="315" spans="1:35" ht="16.5" x14ac:dyDescent="0.3">
      <c r="A315" s="28"/>
      <c r="B315" s="28"/>
      <c r="C315" s="26"/>
      <c r="D315" s="1"/>
      <c r="E315" s="6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X315" s="6"/>
      <c r="Y315" s="6"/>
      <c r="Z315" s="16"/>
      <c r="AA315" s="6"/>
      <c r="AB315" s="6"/>
      <c r="AC315" s="1" t="str">
        <f t="shared" si="75"/>
        <v/>
      </c>
      <c r="AD315" s="6"/>
      <c r="AE315" s="22"/>
      <c r="AF315" s="22"/>
      <c r="AG315" s="6"/>
      <c r="AH315" s="6"/>
      <c r="AI315" s="6"/>
    </row>
    <row r="316" spans="1:35" ht="16.5" x14ac:dyDescent="0.3">
      <c r="A316" s="28"/>
      <c r="B316" s="28"/>
      <c r="C316" s="26" t="s">
        <v>205</v>
      </c>
      <c r="D316" s="1">
        <f>MAX(D313:D315)+NoOne</f>
        <v>27</v>
      </c>
      <c r="E316" s="6" t="s">
        <v>206</v>
      </c>
      <c r="F316" s="22">
        <v>0</v>
      </c>
      <c r="G316" s="34">
        <f t="shared" ref="G316:V316" si="86">IF(SUM($G$116:$V$116)&lt;&gt;0,$F316*(G$116/SUM($G$116:$V$116)),0)</f>
        <v>0</v>
      </c>
      <c r="H316" s="34">
        <f t="shared" si="86"/>
        <v>0</v>
      </c>
      <c r="I316" s="34">
        <f t="shared" si="86"/>
        <v>0</v>
      </c>
      <c r="J316" s="34">
        <f t="shared" si="86"/>
        <v>0</v>
      </c>
      <c r="K316" s="34">
        <f t="shared" si="86"/>
        <v>0</v>
      </c>
      <c r="L316" s="34">
        <f t="shared" si="86"/>
        <v>0</v>
      </c>
      <c r="M316" s="34">
        <f t="shared" si="86"/>
        <v>0</v>
      </c>
      <c r="N316" s="34">
        <f t="shared" si="86"/>
        <v>0</v>
      </c>
      <c r="O316" s="34">
        <f t="shared" si="86"/>
        <v>0</v>
      </c>
      <c r="P316" s="34">
        <f t="shared" si="86"/>
        <v>0</v>
      </c>
      <c r="Q316" s="34">
        <f t="shared" si="86"/>
        <v>0</v>
      </c>
      <c r="R316" s="34">
        <f t="shared" si="86"/>
        <v>0</v>
      </c>
      <c r="S316" s="34">
        <f t="shared" si="86"/>
        <v>0</v>
      </c>
      <c r="T316" s="34">
        <f t="shared" si="86"/>
        <v>0</v>
      </c>
      <c r="U316" s="34">
        <f t="shared" si="86"/>
        <v>0</v>
      </c>
      <c r="V316" s="34">
        <f t="shared" si="86"/>
        <v>0</v>
      </c>
      <c r="X316" s="6"/>
      <c r="Y316" s="6"/>
      <c r="Z316" s="25"/>
      <c r="AA316" s="6"/>
      <c r="AB316" s="6"/>
      <c r="AC316" s="6" t="str">
        <f t="shared" si="75"/>
        <v>Disposal Gain / Loss</v>
      </c>
      <c r="AD316" s="6"/>
      <c r="AE316" s="34">
        <f>IF(SUM($G$116:$V$116)&lt;&gt;0,$F316*(AE$116/SUM($G$116:$V$116)),0)</f>
        <v>0</v>
      </c>
      <c r="AF316" s="34">
        <f>IF(SUM($G$116:$V$116)&lt;&gt;0,$F316*(AF$116/SUM($G$116:$V$116)),0)</f>
        <v>0</v>
      </c>
      <c r="AG316" s="6"/>
      <c r="AH316" s="6" t="str">
        <f>+"Prorated on Total Net Book Value - Sch G 2.3 L."&amp;$D$116</f>
        <v>Prorated on Total Net Book Value - Sch G 2.3 L.42</v>
      </c>
      <c r="AI316" s="6"/>
    </row>
    <row r="317" spans="1:35" ht="33" x14ac:dyDescent="0.3">
      <c r="A317" s="28">
        <f>SUM(G317:AF317)-F317</f>
        <v>0</v>
      </c>
      <c r="B317" s="28"/>
      <c r="C317" s="29"/>
      <c r="D317" s="1">
        <f>MAX(D314:D316)+NoOne</f>
        <v>28</v>
      </c>
      <c r="E317" s="39" t="s">
        <v>207</v>
      </c>
      <c r="F317" s="30">
        <f>SUM(F314,F316)</f>
        <v>1086542590.6269298</v>
      </c>
      <c r="G317" s="30">
        <f>SUM(G314,G316)</f>
        <v>518159345.40552068</v>
      </c>
      <c r="H317" s="30">
        <f>SUM(H314,H316)</f>
        <v>490953541.26751417</v>
      </c>
      <c r="I317" s="30">
        <f>SUM(I314,I316)</f>
        <v>42635522.894446127</v>
      </c>
      <c r="J317" s="30">
        <f t="shared" ref="J317:V317" si="87">SUM(J314,J316)</f>
        <v>6821990.5633444171</v>
      </c>
      <c r="K317" s="30">
        <f t="shared" si="87"/>
        <v>4421548.1148033515</v>
      </c>
      <c r="L317" s="30">
        <f t="shared" si="87"/>
        <v>7684167.8972060438</v>
      </c>
      <c r="M317" s="30">
        <f t="shared" si="87"/>
        <v>2092926.088252665</v>
      </c>
      <c r="N317" s="30">
        <f t="shared" si="87"/>
        <v>714446.07547959103</v>
      </c>
      <c r="O317" s="30">
        <f t="shared" si="87"/>
        <v>1264628.9258489159</v>
      </c>
      <c r="P317" s="30">
        <f t="shared" si="87"/>
        <v>1094319.3840452502</v>
      </c>
      <c r="Q317" s="30">
        <f t="shared" si="87"/>
        <v>1246639.9519262663</v>
      </c>
      <c r="R317" s="30">
        <f t="shared" si="87"/>
        <v>369013.89970818989</v>
      </c>
      <c r="S317" s="30">
        <f t="shared" si="87"/>
        <v>1206724.0882890259</v>
      </c>
      <c r="T317" s="30">
        <f t="shared" si="87"/>
        <v>427156.14576489996</v>
      </c>
      <c r="U317" s="30">
        <f t="shared" si="87"/>
        <v>3473090.0900035584</v>
      </c>
      <c r="V317" s="30">
        <f t="shared" si="87"/>
        <v>1571494.6295435708</v>
      </c>
      <c r="X317" s="6"/>
      <c r="Y317" s="6"/>
      <c r="Z317" s="25"/>
      <c r="AA317" s="6"/>
      <c r="AB317" s="6"/>
      <c r="AC317" s="39" t="str">
        <f t="shared" si="75"/>
        <v>Subtotal Revenue Requirement  Ex. Return</v>
      </c>
      <c r="AD317" s="39"/>
      <c r="AE317" s="30">
        <f>SUM(AE314,AE316)</f>
        <v>1431631.5682524573</v>
      </c>
      <c r="AF317" s="30">
        <f>SUM(AF314,AF316)</f>
        <v>974403.63698063209</v>
      </c>
      <c r="AG317" s="6"/>
      <c r="AH317" s="6"/>
      <c r="AI317" s="6"/>
    </row>
    <row r="318" spans="1:35" ht="16.5" x14ac:dyDescent="0.3">
      <c r="A318" s="28"/>
      <c r="B318" s="28"/>
      <c r="C318" s="29"/>
      <c r="D318" s="1"/>
      <c r="E318" s="39"/>
      <c r="F318" s="64"/>
      <c r="G318" s="64"/>
      <c r="H318" s="64"/>
      <c r="I318" s="64"/>
      <c r="J318" s="64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/>
      <c r="V318" s="64"/>
      <c r="X318" s="6"/>
      <c r="Y318" s="6"/>
      <c r="Z318" s="82"/>
      <c r="AA318" s="6"/>
      <c r="AB318" s="6"/>
      <c r="AC318" s="39" t="str">
        <f t="shared" si="75"/>
        <v/>
      </c>
      <c r="AD318" s="39"/>
      <c r="AE318" s="64"/>
      <c r="AF318" s="64"/>
      <c r="AG318" s="6"/>
      <c r="AH318" s="6"/>
      <c r="AI318" s="6"/>
    </row>
    <row r="319" spans="1:35" ht="16.5" x14ac:dyDescent="0.3">
      <c r="A319" s="28"/>
      <c r="B319" s="28"/>
      <c r="C319" s="26"/>
      <c r="D319" s="1">
        <f>MAX(D316:D318)+NoOne</f>
        <v>29</v>
      </c>
      <c r="E319" s="6" t="s">
        <v>130</v>
      </c>
      <c r="F319" s="22">
        <f>SUM(G319:AF319)</f>
        <v>73763123.91142574</v>
      </c>
      <c r="G319" s="22">
        <f t="shared" ref="G319:V319" si="88">+G214</f>
        <v>26192126.014956877</v>
      </c>
      <c r="H319" s="22">
        <f t="shared" si="88"/>
        <v>17878946.162485372</v>
      </c>
      <c r="I319" s="22">
        <f t="shared" si="88"/>
        <v>20467072.815077223</v>
      </c>
      <c r="J319" s="22">
        <f t="shared" si="88"/>
        <v>1882730.4847279727</v>
      </c>
      <c r="K319" s="22">
        <f t="shared" si="88"/>
        <v>2212550.8593724938</v>
      </c>
      <c r="L319" s="22">
        <f t="shared" si="88"/>
        <v>1969199.9637828623</v>
      </c>
      <c r="M319" s="22">
        <f t="shared" si="88"/>
        <v>541367.34163658007</v>
      </c>
      <c r="N319" s="22">
        <f t="shared" si="88"/>
        <v>191698.3087682802</v>
      </c>
      <c r="O319" s="22">
        <f t="shared" si="88"/>
        <v>339321.93712723278</v>
      </c>
      <c r="P319" s="22">
        <f t="shared" si="88"/>
        <v>273066.32048073696</v>
      </c>
      <c r="Q319" s="22">
        <f t="shared" si="88"/>
        <v>312074.51170669938</v>
      </c>
      <c r="R319" s="22">
        <f t="shared" si="88"/>
        <v>68433.906759614998</v>
      </c>
      <c r="S319" s="22">
        <f t="shared" si="88"/>
        <v>256931.21561928498</v>
      </c>
      <c r="T319" s="22">
        <f t="shared" si="88"/>
        <v>80976.745090515353</v>
      </c>
      <c r="U319" s="22">
        <f t="shared" si="88"/>
        <v>121764.14632767755</v>
      </c>
      <c r="V319" s="22">
        <f t="shared" si="88"/>
        <v>974863.17750631797</v>
      </c>
      <c r="X319" s="6"/>
      <c r="Y319" s="6"/>
      <c r="Z319" s="25"/>
      <c r="AA319" s="6"/>
      <c r="AB319" s="6"/>
      <c r="AC319" s="6" t="str">
        <f t="shared" si="75"/>
        <v>Return on Debt</v>
      </c>
      <c r="AD319" s="6"/>
      <c r="AE319" s="22">
        <v>0</v>
      </c>
      <c r="AF319" s="22">
        <v>0</v>
      </c>
      <c r="AG319" s="6"/>
      <c r="AH319" s="6" t="str">
        <f>+"Prorated on Rate Base - Sch G 2.6 L."&amp;$D$208</f>
        <v>Prorated on Rate Base - Sch G 2.6 L.10</v>
      </c>
      <c r="AI319" s="6"/>
    </row>
    <row r="320" spans="1:35" ht="16.5" x14ac:dyDescent="0.3">
      <c r="A320" s="28"/>
      <c r="B320" s="28"/>
      <c r="C320" s="26"/>
      <c r="D320" s="1">
        <f>MAX(D317:D319)+NoOne</f>
        <v>30</v>
      </c>
      <c r="E320" s="6" t="s">
        <v>131</v>
      </c>
      <c r="F320" s="22">
        <f>SUM(G320:AF320)</f>
        <v>45826259.705769487</v>
      </c>
      <c r="G320" s="22">
        <f t="shared" ref="G320:V320" si="89">+G216</f>
        <v>16272184.600654274</v>
      </c>
      <c r="H320" s="22">
        <f t="shared" si="89"/>
        <v>11107518.047789916</v>
      </c>
      <c r="I320" s="22">
        <f t="shared" si="89"/>
        <v>12715423.974815421</v>
      </c>
      <c r="J320" s="22">
        <f t="shared" si="89"/>
        <v>1169669.7695818304</v>
      </c>
      <c r="K320" s="22">
        <f t="shared" si="89"/>
        <v>1374574.7863875628</v>
      </c>
      <c r="L320" s="22">
        <f t="shared" si="89"/>
        <v>1223390.0107222435</v>
      </c>
      <c r="M320" s="22">
        <f t="shared" si="89"/>
        <v>336331.20560146339</v>
      </c>
      <c r="N320" s="22">
        <f t="shared" si="89"/>
        <v>119094.96259026047</v>
      </c>
      <c r="O320" s="22">
        <f t="shared" si="89"/>
        <v>210807.98087306492</v>
      </c>
      <c r="P320" s="22">
        <f t="shared" si="89"/>
        <v>169645.8535877004</v>
      </c>
      <c r="Q320" s="22">
        <f t="shared" si="89"/>
        <v>193880.17836927838</v>
      </c>
      <c r="R320" s="22">
        <f t="shared" si="89"/>
        <v>42515.417156305666</v>
      </c>
      <c r="S320" s="22">
        <f t="shared" si="89"/>
        <v>159621.71867377509</v>
      </c>
      <c r="T320" s="22">
        <f t="shared" si="89"/>
        <v>50307.81173397466</v>
      </c>
      <c r="U320" s="22">
        <f t="shared" si="89"/>
        <v>75647.492901248188</v>
      </c>
      <c r="V320" s="22">
        <f t="shared" si="89"/>
        <v>605645.89433116768</v>
      </c>
      <c r="X320" s="6"/>
      <c r="Y320" s="6"/>
      <c r="Z320" s="25"/>
      <c r="AA320" s="6"/>
      <c r="AB320" s="6"/>
      <c r="AC320" s="6" t="str">
        <f t="shared" si="75"/>
        <v>Return on Equity</v>
      </c>
      <c r="AD320" s="6"/>
      <c r="AE320" s="22">
        <v>0</v>
      </c>
      <c r="AF320" s="22">
        <v>0</v>
      </c>
      <c r="AG320" s="6"/>
      <c r="AH320" s="6" t="str">
        <f>+"Prorated on Rate Base - Sch G 2.6 L."&amp;$D$212</f>
        <v>Prorated on Rate Base - Sch G 2.6 L.12</v>
      </c>
      <c r="AI320" s="6"/>
    </row>
    <row r="321" spans="1:35" ht="16.5" x14ac:dyDescent="0.3">
      <c r="A321" s="28"/>
      <c r="B321" s="28"/>
      <c r="C321" s="26"/>
      <c r="D321" s="1"/>
      <c r="E321" s="6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X321" s="6"/>
      <c r="Y321" s="6"/>
      <c r="Z321" s="16"/>
      <c r="AA321" s="6"/>
      <c r="AB321" s="6"/>
      <c r="AC321" s="6" t="str">
        <f t="shared" si="75"/>
        <v/>
      </c>
      <c r="AD321" s="6"/>
      <c r="AE321" s="22"/>
      <c r="AF321" s="22"/>
      <c r="AG321" s="6"/>
      <c r="AH321" s="6"/>
      <c r="AI321" s="6"/>
    </row>
    <row r="322" spans="1:35" ht="17.25" thickBot="1" x14ac:dyDescent="0.35">
      <c r="A322" s="28">
        <f>SUM(G322:AF322)-F322</f>
        <v>0</v>
      </c>
      <c r="B322" s="28"/>
      <c r="C322" s="29"/>
      <c r="D322" s="1">
        <f>MAX(D319:D321)+NoOne</f>
        <v>31</v>
      </c>
      <c r="E322" s="53" t="s">
        <v>208</v>
      </c>
      <c r="F322" s="55">
        <f>SUM(F314,F319,F316,F320)</f>
        <v>1206131974.2441251</v>
      </c>
      <c r="G322" s="55">
        <f>SUM(G314,G319,G316,G320)</f>
        <v>560623656.02113175</v>
      </c>
      <c r="H322" s="55">
        <f>SUM(H314,H319,H316,H320)</f>
        <v>519940005.47778946</v>
      </c>
      <c r="I322" s="55">
        <f>SUM(I314,I319,I316,I320)</f>
        <v>75818019.684338778</v>
      </c>
      <c r="J322" s="55">
        <f t="shared" ref="J322:V322" si="90">SUM(J314,J319,J316,J320)</f>
        <v>9874390.8176542204</v>
      </c>
      <c r="K322" s="55">
        <f t="shared" si="90"/>
        <v>8008673.760563408</v>
      </c>
      <c r="L322" s="55">
        <f t="shared" si="90"/>
        <v>10876757.87171115</v>
      </c>
      <c r="M322" s="55">
        <f t="shared" si="90"/>
        <v>2970624.6354907085</v>
      </c>
      <c r="N322" s="55">
        <f t="shared" si="90"/>
        <v>1025239.3468381317</v>
      </c>
      <c r="O322" s="55">
        <f t="shared" si="90"/>
        <v>1814758.8438492136</v>
      </c>
      <c r="P322" s="55">
        <f t="shared" si="90"/>
        <v>1537031.5581136877</v>
      </c>
      <c r="Q322" s="55">
        <f t="shared" si="90"/>
        <v>1752594.642002244</v>
      </c>
      <c r="R322" s="55">
        <f t="shared" si="90"/>
        <v>479963.22362411057</v>
      </c>
      <c r="S322" s="55">
        <f t="shared" si="90"/>
        <v>1623277.0225820858</v>
      </c>
      <c r="T322" s="55">
        <f t="shared" si="90"/>
        <v>558440.70258938998</v>
      </c>
      <c r="U322" s="55">
        <f t="shared" si="90"/>
        <v>3670501.7292324845</v>
      </c>
      <c r="V322" s="55">
        <f t="shared" si="90"/>
        <v>3152003.7013810566</v>
      </c>
      <c r="X322" s="6"/>
      <c r="Y322" s="6"/>
      <c r="Z322" s="25"/>
      <c r="AA322" s="6"/>
      <c r="AB322" s="6"/>
      <c r="AC322" s="37" t="str">
        <f t="shared" si="75"/>
        <v>Total Revenue Reqmt</v>
      </c>
      <c r="AD322" s="20"/>
      <c r="AE322" s="55">
        <f>SUM(AE314,AE319,AE316,AE320)</f>
        <v>1431631.5682524573</v>
      </c>
      <c r="AF322" s="55">
        <f>SUM(AF314,AF319,AF316,AF320)</f>
        <v>974403.63698063209</v>
      </c>
      <c r="AG322" s="6"/>
      <c r="AH322" s="6"/>
      <c r="AI322" s="6"/>
    </row>
    <row r="323" spans="1:35" ht="17.25" thickTop="1" x14ac:dyDescent="0.3">
      <c r="A323" s="28"/>
      <c r="B323" s="28"/>
      <c r="C323" s="26"/>
      <c r="D323" s="1"/>
      <c r="E323" s="6"/>
      <c r="F323" s="23" t="s">
        <v>39</v>
      </c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</row>
    <row r="324" spans="1:35" ht="16.5" x14ac:dyDescent="0.3">
      <c r="A324" s="28"/>
      <c r="B324" s="28"/>
      <c r="C324" s="26"/>
      <c r="D324" s="1"/>
      <c r="E324" s="6" t="s">
        <v>209</v>
      </c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</row>
    <row r="325" spans="1:35" ht="16.5" x14ac:dyDescent="0.3">
      <c r="A325" s="28"/>
      <c r="B325" s="28"/>
      <c r="C325" s="26"/>
      <c r="D325" s="1"/>
      <c r="E325" s="6" t="s">
        <v>564</v>
      </c>
      <c r="F325" s="23">
        <f>SUM(G325:V325)</f>
        <v>2102740029.6428947</v>
      </c>
      <c r="G325" s="23">
        <f>G116</f>
        <v>758094523.60939014</v>
      </c>
      <c r="H325" s="23">
        <f>H116</f>
        <v>476193156.3922801</v>
      </c>
      <c r="I325" s="23">
        <f>I116</f>
        <v>599698339.15013182</v>
      </c>
      <c r="J325" s="23">
        <f t="shared" ref="J325:U325" si="91">IF(RuralMarginSwitch=1,0,J116)</f>
        <v>54644492.255983904</v>
      </c>
      <c r="K325" s="23">
        <f t="shared" si="91"/>
        <v>65092491.7251537</v>
      </c>
      <c r="L325" s="23">
        <f t="shared" si="91"/>
        <v>57156656.032113455</v>
      </c>
      <c r="M325" s="23">
        <f t="shared" si="91"/>
        <v>15716305.651248157</v>
      </c>
      <c r="N325" s="23">
        <f t="shared" si="91"/>
        <v>5583684.1831743438</v>
      </c>
      <c r="O325" s="23">
        <f t="shared" si="91"/>
        <v>9883585.0222947523</v>
      </c>
      <c r="P325" s="23">
        <f t="shared" si="91"/>
        <v>7917691.3495333279</v>
      </c>
      <c r="Q325" s="23">
        <f t="shared" si="91"/>
        <v>9050377.5382101908</v>
      </c>
      <c r="R325" s="23">
        <f t="shared" si="91"/>
        <v>1967526.7689431286</v>
      </c>
      <c r="S325" s="23">
        <f t="shared" si="91"/>
        <v>7527362.2459018575</v>
      </c>
      <c r="T325" s="23">
        <f t="shared" si="91"/>
        <v>2350428.8690874116</v>
      </c>
      <c r="U325" s="23">
        <f t="shared" si="91"/>
        <v>3543748.5312603628</v>
      </c>
      <c r="V325" s="23">
        <f>V116</f>
        <v>28319660.318188228</v>
      </c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</row>
    <row r="326" spans="1:35" ht="16.5" x14ac:dyDescent="0.3">
      <c r="A326" s="28"/>
      <c r="B326" s="28"/>
      <c r="C326" s="26"/>
      <c r="D326" s="1"/>
      <c r="E326" s="6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</row>
    <row r="327" spans="1:35" ht="16.5" x14ac:dyDescent="0.3">
      <c r="A327" s="28"/>
      <c r="B327" s="28"/>
      <c r="C327" s="26" t="s">
        <v>210</v>
      </c>
      <c r="D327" s="1"/>
      <c r="E327" s="6" t="s">
        <v>211</v>
      </c>
      <c r="F327" s="22">
        <v>0</v>
      </c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</row>
    <row r="328" spans="1:35" ht="16.5" x14ac:dyDescent="0.3">
      <c r="A328" s="28"/>
      <c r="B328" s="28"/>
      <c r="C328" s="26"/>
      <c r="D328" s="1"/>
      <c r="E328" s="6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</row>
    <row r="329" spans="1:35" ht="16.5" x14ac:dyDescent="0.3">
      <c r="A329" s="28"/>
      <c r="B329" s="28"/>
      <c r="C329" s="26"/>
      <c r="D329" s="1"/>
      <c r="E329" s="6"/>
      <c r="F329" s="23">
        <f>F314-F413</f>
        <v>0</v>
      </c>
      <c r="G329" s="23">
        <f>G314-G413</f>
        <v>0</v>
      </c>
      <c r="H329" s="23">
        <f t="shared" ref="H329:U329" si="92">H314-H413</f>
        <v>0</v>
      </c>
      <c r="I329" s="23">
        <f t="shared" si="92"/>
        <v>0</v>
      </c>
      <c r="J329" s="23">
        <f t="shared" si="92"/>
        <v>0</v>
      </c>
      <c r="K329" s="23">
        <f t="shared" si="92"/>
        <v>0</v>
      </c>
      <c r="L329" s="23">
        <f t="shared" si="92"/>
        <v>0</v>
      </c>
      <c r="M329" s="23">
        <f t="shared" si="92"/>
        <v>0</v>
      </c>
      <c r="N329" s="23">
        <f t="shared" si="92"/>
        <v>0</v>
      </c>
      <c r="O329" s="23">
        <f t="shared" si="92"/>
        <v>0</v>
      </c>
      <c r="P329" s="23">
        <f t="shared" si="92"/>
        <v>0</v>
      </c>
      <c r="Q329" s="23">
        <f t="shared" si="92"/>
        <v>0</v>
      </c>
      <c r="R329" s="23">
        <f t="shared" si="92"/>
        <v>0</v>
      </c>
      <c r="S329" s="23">
        <f t="shared" si="92"/>
        <v>0</v>
      </c>
      <c r="T329" s="23">
        <f t="shared" si="92"/>
        <v>0</v>
      </c>
      <c r="U329" s="23">
        <f t="shared" si="92"/>
        <v>0</v>
      </c>
      <c r="V329" s="23">
        <f>V314-V413</f>
        <v>0</v>
      </c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</row>
    <row r="330" spans="1:35" ht="16.5" x14ac:dyDescent="0.3">
      <c r="A330" s="28"/>
      <c r="B330" s="28"/>
      <c r="C330" s="26"/>
      <c r="D330" s="1"/>
      <c r="E330" s="6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</row>
    <row r="331" spans="1:35" ht="16.5" x14ac:dyDescent="0.3">
      <c r="A331" s="28"/>
      <c r="B331" s="28"/>
      <c r="C331" s="26"/>
      <c r="D331" s="1"/>
      <c r="E331" s="6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</row>
    <row r="332" spans="1:35" ht="16.5" x14ac:dyDescent="0.3">
      <c r="A332" s="28"/>
      <c r="B332" s="28"/>
      <c r="C332" s="26"/>
      <c r="D332" s="1"/>
      <c r="E332" s="6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</row>
    <row r="333" spans="1:35" ht="16.5" x14ac:dyDescent="0.3">
      <c r="A333" s="28"/>
      <c r="B333" s="28"/>
      <c r="C333" s="26"/>
      <c r="D333" s="1"/>
      <c r="E333" s="6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42" t="s">
        <v>492</v>
      </c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42" t="str">
        <f>+V333</f>
        <v>Schedule G 3.1A</v>
      </c>
    </row>
    <row r="334" spans="1:35" ht="16.5" x14ac:dyDescent="0.3">
      <c r="A334" s="28"/>
      <c r="B334" s="28"/>
      <c r="C334" s="26"/>
      <c r="D334" s="1"/>
      <c r="E334" s="6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42" t="s">
        <v>3</v>
      </c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7" t="s">
        <v>4</v>
      </c>
    </row>
    <row r="335" spans="1:35" ht="16.5" x14ac:dyDescent="0.3">
      <c r="A335" s="28"/>
      <c r="B335" s="28"/>
      <c r="C335" s="26"/>
      <c r="D335" s="1"/>
      <c r="E335" s="6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</row>
    <row r="336" spans="1:35" ht="16.5" x14ac:dyDescent="0.3">
      <c r="A336" s="43"/>
      <c r="B336" s="43"/>
      <c r="C336" s="44"/>
      <c r="D336" s="8" t="str">
        <f>D5</f>
        <v>NEWFOUNDLAND AND LABRADOR HYDRO</v>
      </c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10"/>
      <c r="X336" s="6"/>
      <c r="Y336" s="6"/>
      <c r="Z336" s="6"/>
      <c r="AA336" s="9" t="s">
        <v>6</v>
      </c>
      <c r="AB336" s="9"/>
      <c r="AC336" s="10"/>
      <c r="AD336" s="9"/>
      <c r="AE336" s="9"/>
      <c r="AF336" s="9"/>
      <c r="AG336" s="9"/>
      <c r="AH336" s="11"/>
      <c r="AI336" s="11"/>
    </row>
    <row r="337" spans="1:35" ht="16.5" x14ac:dyDescent="0.3">
      <c r="A337" s="43"/>
      <c r="B337" s="43"/>
      <c r="C337" s="44"/>
      <c r="D337" s="8" t="str">
        <f>D6</f>
        <v>2027 Test Year Cost of Service Study (No Rate Mitigation)</v>
      </c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10"/>
      <c r="X337" s="6"/>
      <c r="Y337" s="6"/>
      <c r="Z337" s="6"/>
      <c r="AA337" s="9" t="str">
        <f>RunName</f>
        <v>2027 Test Year Cost of Service Study (No Rate Mitigation)</v>
      </c>
      <c r="AB337" s="9"/>
      <c r="AC337" s="10"/>
      <c r="AD337" s="9"/>
      <c r="AE337" s="9"/>
      <c r="AF337" s="9"/>
      <c r="AG337" s="9"/>
      <c r="AH337" s="11"/>
      <c r="AI337" s="11"/>
    </row>
    <row r="338" spans="1:35" ht="16.5" x14ac:dyDescent="0.3">
      <c r="A338" s="43"/>
      <c r="B338" s="43"/>
      <c r="C338" s="44"/>
      <c r="D338" s="8" t="str">
        <f>$B$1</f>
        <v>Island Interconnected</v>
      </c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10"/>
      <c r="X338" s="6"/>
      <c r="Y338" s="6"/>
      <c r="Z338" s="6"/>
      <c r="AA338" s="9" t="str">
        <f>$B$1</f>
        <v>Island Interconnected</v>
      </c>
      <c r="AB338" s="9"/>
      <c r="AC338" s="10"/>
      <c r="AD338" s="9"/>
      <c r="AE338" s="9"/>
      <c r="AF338" s="9"/>
      <c r="AG338" s="9"/>
      <c r="AH338" s="11"/>
      <c r="AI338" s="11"/>
    </row>
    <row r="339" spans="1:35" ht="16.5" x14ac:dyDescent="0.3">
      <c r="A339" s="43"/>
      <c r="B339" s="43"/>
      <c r="C339" s="44"/>
      <c r="D339" s="8" t="s">
        <v>213</v>
      </c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10"/>
      <c r="X339" s="6"/>
      <c r="Y339" s="6"/>
      <c r="Z339" s="6"/>
      <c r="AA339" s="9" t="str">
        <f>+D339&amp;" (CONT'D.)"</f>
        <v>Basis of Allocation to Classes of Service (CONT'D.)</v>
      </c>
      <c r="AB339" s="9"/>
      <c r="AC339" s="10"/>
      <c r="AD339" s="9"/>
      <c r="AE339" s="9"/>
      <c r="AF339" s="9"/>
      <c r="AG339" s="9"/>
      <c r="AH339" s="11"/>
      <c r="AI339" s="11"/>
    </row>
    <row r="340" spans="1:35" ht="16.5" x14ac:dyDescent="0.3">
      <c r="A340" s="28"/>
      <c r="B340" s="28"/>
      <c r="C340" s="26"/>
      <c r="D340" s="1"/>
      <c r="E340" s="6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X340" s="6"/>
      <c r="Y340" s="6"/>
      <c r="Z340" s="1"/>
      <c r="AA340" s="1"/>
      <c r="AB340" s="1"/>
      <c r="AC340" s="1"/>
      <c r="AD340" s="6"/>
      <c r="AE340" s="6"/>
      <c r="AF340" s="6"/>
      <c r="AG340" s="6"/>
      <c r="AH340" s="6"/>
      <c r="AI340" s="6"/>
    </row>
    <row r="341" spans="1:35" ht="16.5" x14ac:dyDescent="0.3">
      <c r="A341" s="45"/>
      <c r="B341" s="45"/>
      <c r="C341" s="45"/>
      <c r="D341" s="1"/>
      <c r="E341" s="1">
        <f t="shared" ref="E341:V341" si="93">MAX(D341)+NoOne</f>
        <v>1</v>
      </c>
      <c r="F341" s="1">
        <f t="shared" si="93"/>
        <v>2</v>
      </c>
      <c r="G341" s="1">
        <f t="shared" si="93"/>
        <v>3</v>
      </c>
      <c r="H341" s="1">
        <f t="shared" si="93"/>
        <v>4</v>
      </c>
      <c r="I341" s="1">
        <f t="shared" si="93"/>
        <v>5</v>
      </c>
      <c r="J341" s="1">
        <f t="shared" si="93"/>
        <v>6</v>
      </c>
      <c r="K341" s="1">
        <f t="shared" si="93"/>
        <v>7</v>
      </c>
      <c r="L341" s="1">
        <f t="shared" si="93"/>
        <v>8</v>
      </c>
      <c r="M341" s="1">
        <f t="shared" si="93"/>
        <v>9</v>
      </c>
      <c r="N341" s="1">
        <f t="shared" si="93"/>
        <v>10</v>
      </c>
      <c r="O341" s="1">
        <f t="shared" si="93"/>
        <v>11</v>
      </c>
      <c r="P341" s="1">
        <f t="shared" si="93"/>
        <v>12</v>
      </c>
      <c r="Q341" s="1">
        <f t="shared" si="93"/>
        <v>13</v>
      </c>
      <c r="R341" s="1">
        <f t="shared" si="93"/>
        <v>14</v>
      </c>
      <c r="S341" s="1">
        <f t="shared" si="93"/>
        <v>15</v>
      </c>
      <c r="T341" s="1">
        <f t="shared" si="93"/>
        <v>16</v>
      </c>
      <c r="U341" s="1">
        <f t="shared" si="93"/>
        <v>17</v>
      </c>
      <c r="V341" s="1">
        <f t="shared" si="93"/>
        <v>18</v>
      </c>
      <c r="X341" s="6"/>
      <c r="Y341" s="6"/>
      <c r="Z341" s="6"/>
      <c r="AA341" s="6"/>
      <c r="AB341" s="6"/>
      <c r="AC341" s="1">
        <f>MAX(AB341)+NoOne</f>
        <v>1</v>
      </c>
      <c r="AD341" s="13"/>
      <c r="AE341" s="1">
        <f>MAX(V341)+NoOne</f>
        <v>19</v>
      </c>
      <c r="AF341" s="1">
        <f>MAX(AE341)+NoOne</f>
        <v>20</v>
      </c>
      <c r="AG341" s="6"/>
      <c r="AH341" s="6"/>
      <c r="AI341" s="6"/>
    </row>
    <row r="342" spans="1:35" ht="16.5" x14ac:dyDescent="0.3">
      <c r="A342" s="28"/>
      <c r="B342" s="28"/>
      <c r="C342" s="26"/>
      <c r="D342" s="1"/>
      <c r="E342" s="6"/>
      <c r="F342" s="23"/>
      <c r="G342" s="13"/>
      <c r="H342" s="13"/>
      <c r="I342" s="13"/>
      <c r="J342" s="13" t="s">
        <v>8</v>
      </c>
      <c r="K342" s="47" t="s">
        <v>9</v>
      </c>
      <c r="L342" s="47"/>
      <c r="M342" s="47"/>
      <c r="N342" s="47"/>
      <c r="O342" s="47"/>
      <c r="P342" s="47"/>
      <c r="Q342" s="47"/>
      <c r="R342" s="47"/>
      <c r="S342" s="47"/>
      <c r="T342" s="47"/>
      <c r="U342" s="23"/>
      <c r="V342" s="25" t="s">
        <v>10</v>
      </c>
      <c r="X342" s="6"/>
      <c r="Y342" s="6"/>
      <c r="Z342" s="6"/>
      <c r="AA342" s="13"/>
      <c r="AB342" s="13"/>
      <c r="AC342" s="12"/>
      <c r="AD342" s="12"/>
      <c r="AE342" s="78" t="s">
        <v>135</v>
      </c>
      <c r="AF342" s="65"/>
      <c r="AG342" s="13"/>
      <c r="AH342" s="13"/>
      <c r="AI342" s="13"/>
    </row>
    <row r="343" spans="1:35" ht="16.5" x14ac:dyDescent="0.3">
      <c r="A343" s="28"/>
      <c r="B343" s="28"/>
      <c r="C343" s="26"/>
      <c r="D343" s="1" t="s">
        <v>14</v>
      </c>
      <c r="E343" s="6"/>
      <c r="F343" s="25" t="s">
        <v>15</v>
      </c>
      <c r="G343" s="13" t="s">
        <v>16</v>
      </c>
      <c r="H343" s="13" t="s">
        <v>16</v>
      </c>
      <c r="I343" s="13" t="s">
        <v>17</v>
      </c>
      <c r="J343" s="25" t="s">
        <v>17</v>
      </c>
      <c r="K343" s="25" t="s">
        <v>18</v>
      </c>
      <c r="L343" s="47" t="s">
        <v>19</v>
      </c>
      <c r="M343" s="47"/>
      <c r="N343" s="47" t="s">
        <v>20</v>
      </c>
      <c r="O343" s="47"/>
      <c r="P343" s="47" t="s">
        <v>21</v>
      </c>
      <c r="Q343" s="47"/>
      <c r="R343" s="48" t="s">
        <v>22</v>
      </c>
      <c r="S343" s="48" t="s">
        <v>23</v>
      </c>
      <c r="T343" s="49" t="s">
        <v>24</v>
      </c>
      <c r="U343" s="48" t="s">
        <v>25</v>
      </c>
      <c r="V343" s="25" t="s">
        <v>26</v>
      </c>
      <c r="X343" s="6"/>
      <c r="Y343" s="6"/>
      <c r="Z343" s="6"/>
      <c r="AA343" s="6"/>
      <c r="AB343" s="6"/>
      <c r="AC343" s="13"/>
      <c r="AD343" s="13"/>
      <c r="AE343" s="13" t="s">
        <v>136</v>
      </c>
      <c r="AF343" s="13" t="s">
        <v>137</v>
      </c>
      <c r="AG343" s="6"/>
      <c r="AH343" s="6"/>
      <c r="AI343" s="6"/>
    </row>
    <row r="344" spans="1:35" ht="16.5" x14ac:dyDescent="0.3">
      <c r="A344" s="28"/>
      <c r="B344" s="28"/>
      <c r="C344" s="26"/>
      <c r="D344" s="1" t="s">
        <v>30</v>
      </c>
      <c r="E344" s="6" t="s">
        <v>31</v>
      </c>
      <c r="F344" s="25" t="s">
        <v>32</v>
      </c>
      <c r="G344" s="25" t="s">
        <v>33</v>
      </c>
      <c r="H344" s="25" t="s">
        <v>34</v>
      </c>
      <c r="I344" s="13" t="s">
        <v>33</v>
      </c>
      <c r="J344" s="25" t="s">
        <v>33</v>
      </c>
      <c r="K344" s="25" t="s">
        <v>33</v>
      </c>
      <c r="L344" s="25" t="s">
        <v>33</v>
      </c>
      <c r="M344" s="25" t="s">
        <v>35</v>
      </c>
      <c r="N344" s="25" t="s">
        <v>33</v>
      </c>
      <c r="O344" s="25" t="s">
        <v>35</v>
      </c>
      <c r="P344" s="25" t="s">
        <v>33</v>
      </c>
      <c r="Q344" s="25" t="s">
        <v>35</v>
      </c>
      <c r="R344" s="25" t="s">
        <v>35</v>
      </c>
      <c r="S344" s="25" t="s">
        <v>35</v>
      </c>
      <c r="T344" s="25" t="s">
        <v>35</v>
      </c>
      <c r="U344" s="25" t="s">
        <v>35</v>
      </c>
      <c r="V344" s="25" t="s">
        <v>35</v>
      </c>
      <c r="X344" s="6"/>
      <c r="Y344" s="6"/>
      <c r="Z344" s="6"/>
      <c r="AA344" s="6"/>
      <c r="AB344" s="6"/>
      <c r="AC344" s="13" t="s">
        <v>31</v>
      </c>
      <c r="AD344" s="13"/>
      <c r="AE344" s="13" t="s">
        <v>138</v>
      </c>
      <c r="AF344" s="13" t="s">
        <v>139</v>
      </c>
      <c r="AG344" s="6"/>
      <c r="AH344" s="6"/>
      <c r="AI344" s="6"/>
    </row>
    <row r="345" spans="1:35" ht="16.5" x14ac:dyDescent="0.3">
      <c r="A345" s="28"/>
      <c r="B345" s="28"/>
      <c r="C345" s="26"/>
      <c r="D345" s="1"/>
      <c r="E345" s="6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X345" s="6"/>
      <c r="Y345" s="6"/>
      <c r="Z345" s="6"/>
      <c r="AA345" s="6"/>
      <c r="AB345" s="6"/>
      <c r="AC345" s="13"/>
      <c r="AD345" s="13"/>
      <c r="AE345" s="83" t="s">
        <v>214</v>
      </c>
      <c r="AF345" s="83" t="s">
        <v>214</v>
      </c>
      <c r="AG345" s="6"/>
      <c r="AH345" s="6"/>
      <c r="AI345" s="6"/>
    </row>
    <row r="346" spans="1:35" ht="16.5" x14ac:dyDescent="0.3">
      <c r="A346" s="28"/>
      <c r="B346" s="28"/>
      <c r="C346" s="26"/>
      <c r="D346" s="1" t="s">
        <v>39</v>
      </c>
      <c r="E346" s="6"/>
      <c r="F346" s="23"/>
      <c r="G346" s="25" t="s">
        <v>215</v>
      </c>
      <c r="H346" s="25" t="s">
        <v>216</v>
      </c>
      <c r="I346" s="84" t="s">
        <v>217</v>
      </c>
      <c r="J346" s="84" t="s">
        <v>217</v>
      </c>
      <c r="K346" s="84" t="s">
        <v>217</v>
      </c>
      <c r="L346" s="84" t="s">
        <v>217</v>
      </c>
      <c r="M346" s="25" t="s">
        <v>218</v>
      </c>
      <c r="N346" s="25" t="s">
        <v>217</v>
      </c>
      <c r="O346" s="25" t="s">
        <v>218</v>
      </c>
      <c r="P346" s="25" t="s">
        <v>217</v>
      </c>
      <c r="Q346" s="25" t="s">
        <v>218</v>
      </c>
      <c r="R346" s="85" t="s">
        <v>219</v>
      </c>
      <c r="S346" s="85"/>
      <c r="T346" s="23"/>
      <c r="U346" s="23" t="s">
        <v>218</v>
      </c>
      <c r="V346" s="23"/>
      <c r="X346" s="6"/>
      <c r="Y346" s="6"/>
      <c r="Z346" s="6"/>
      <c r="AA346" s="6"/>
      <c r="AB346" s="6"/>
      <c r="AC346" s="6" t="str">
        <f t="shared" ref="AC346:AC380" si="94">IF(ISBLANK(E346),"",E346)</f>
        <v/>
      </c>
      <c r="AD346" s="6"/>
      <c r="AE346" s="13" t="s">
        <v>220</v>
      </c>
      <c r="AF346" s="13" t="s">
        <v>221</v>
      </c>
      <c r="AG346" s="6"/>
      <c r="AH346" s="6"/>
      <c r="AI346" s="6"/>
    </row>
    <row r="347" spans="1:35" ht="16.5" x14ac:dyDescent="0.3">
      <c r="A347" s="28"/>
      <c r="B347" s="28"/>
      <c r="C347" s="26"/>
      <c r="D347" s="1"/>
      <c r="E347" s="6" t="s">
        <v>39</v>
      </c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X347" s="6"/>
      <c r="Y347" s="6"/>
      <c r="Z347" s="6"/>
      <c r="AA347" s="6"/>
      <c r="AB347" s="6"/>
      <c r="AC347" s="6" t="str">
        <f t="shared" si="94"/>
        <v xml:space="preserve"> </v>
      </c>
      <c r="AD347" s="6"/>
      <c r="AE347" s="22"/>
      <c r="AF347" s="22"/>
      <c r="AG347" s="6"/>
      <c r="AH347" s="6"/>
      <c r="AI347" s="6"/>
    </row>
    <row r="348" spans="1:35" ht="16.5" x14ac:dyDescent="0.3">
      <c r="A348" s="28"/>
      <c r="B348" s="28"/>
      <c r="C348" s="26"/>
      <c r="D348" s="1"/>
      <c r="E348" s="20" t="s">
        <v>222</v>
      </c>
      <c r="F348" s="23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3"/>
      <c r="U348" s="23"/>
      <c r="V348" s="23"/>
      <c r="X348" s="6"/>
      <c r="Y348" s="6"/>
      <c r="Z348" s="6"/>
      <c r="AA348" s="6"/>
      <c r="AB348" s="6"/>
      <c r="AC348" s="20" t="str">
        <f t="shared" si="94"/>
        <v>Amounts</v>
      </c>
      <c r="AD348" s="6"/>
      <c r="AE348" s="6"/>
      <c r="AF348" s="6"/>
      <c r="AG348" s="6"/>
      <c r="AH348" s="6"/>
      <c r="AI348" s="6"/>
    </row>
    <row r="349" spans="1:35" ht="16.5" x14ac:dyDescent="0.3">
      <c r="A349" s="19"/>
      <c r="B349" s="28"/>
      <c r="C349" s="28" t="s">
        <v>223</v>
      </c>
      <c r="D349" s="1">
        <f>MAX(D346:D348)+NoOne</f>
        <v>1</v>
      </c>
      <c r="E349" s="6" t="s">
        <v>224</v>
      </c>
      <c r="F349" s="86" t="s">
        <v>225</v>
      </c>
      <c r="G349" s="22">
        <v>1459197.7922357633</v>
      </c>
      <c r="H349" s="22">
        <v>6292250.3375076158</v>
      </c>
      <c r="I349" s="22">
        <v>1435868.6189540578</v>
      </c>
      <c r="J349" s="22">
        <v>0</v>
      </c>
      <c r="K349" s="22">
        <v>0</v>
      </c>
      <c r="L349" s="22">
        <v>0</v>
      </c>
      <c r="M349" s="22">
        <v>0</v>
      </c>
      <c r="N349" s="22">
        <v>0</v>
      </c>
      <c r="O349" s="22">
        <v>0</v>
      </c>
      <c r="P349" s="22">
        <v>0</v>
      </c>
      <c r="Q349" s="22">
        <v>0</v>
      </c>
      <c r="R349" s="22">
        <v>0</v>
      </c>
      <c r="S349" s="22">
        <v>0</v>
      </c>
      <c r="T349" s="22">
        <v>0</v>
      </c>
      <c r="U349" s="22">
        <v>0</v>
      </c>
      <c r="V349" s="22">
        <v>0</v>
      </c>
      <c r="X349" s="6"/>
      <c r="Y349" s="6"/>
      <c r="Z349" s="6"/>
      <c r="AA349" s="6"/>
      <c r="AB349" s="6"/>
      <c r="AC349" s="6" t="str">
        <f t="shared" si="94"/>
        <v>Newfoundland Power</v>
      </c>
      <c r="AD349" s="6"/>
      <c r="AE349" s="22">
        <v>0</v>
      </c>
      <c r="AF349" s="22">
        <v>484507755</v>
      </c>
      <c r="AG349" s="6"/>
      <c r="AH349" s="6"/>
      <c r="AI349" s="6"/>
    </row>
    <row r="350" spans="1:35" ht="16.5" x14ac:dyDescent="0.3">
      <c r="A350" s="19"/>
      <c r="B350" s="28"/>
      <c r="C350" s="28" t="s">
        <v>226</v>
      </c>
      <c r="D350" s="1">
        <f>MAX(D347:D349)+NoOne</f>
        <v>2</v>
      </c>
      <c r="E350" s="17" t="s">
        <v>227</v>
      </c>
      <c r="F350" s="86" t="s">
        <v>225</v>
      </c>
      <c r="G350" s="22">
        <v>81910.551160551287</v>
      </c>
      <c r="H350" s="22">
        <v>641688.15407828812</v>
      </c>
      <c r="I350" s="22">
        <v>78487.191974464193</v>
      </c>
      <c r="J350" s="22">
        <v>0</v>
      </c>
      <c r="K350" s="22">
        <v>0</v>
      </c>
      <c r="L350" s="22">
        <v>0</v>
      </c>
      <c r="M350" s="22">
        <v>0</v>
      </c>
      <c r="N350" s="22">
        <v>0</v>
      </c>
      <c r="O350" s="22">
        <v>0</v>
      </c>
      <c r="P350" s="22">
        <v>0</v>
      </c>
      <c r="Q350" s="22">
        <v>0</v>
      </c>
      <c r="R350" s="22">
        <v>0</v>
      </c>
      <c r="S350" s="22">
        <v>0</v>
      </c>
      <c r="T350" s="22">
        <v>0</v>
      </c>
      <c r="U350" s="22">
        <v>0</v>
      </c>
      <c r="V350" s="22">
        <v>0</v>
      </c>
      <c r="X350" s="6"/>
      <c r="Y350" s="6"/>
      <c r="Z350" s="6"/>
      <c r="AA350" s="6"/>
      <c r="AB350" s="6"/>
      <c r="AC350" s="17" t="str">
        <f t="shared" si="94"/>
        <v>Industrial - Firm</v>
      </c>
      <c r="AD350" s="6"/>
      <c r="AE350" s="22">
        <v>0</v>
      </c>
      <c r="AF350" s="22">
        <v>43914366</v>
      </c>
      <c r="AG350" s="6"/>
      <c r="AH350" s="6"/>
      <c r="AI350" s="6"/>
    </row>
    <row r="351" spans="1:35" ht="16.5" x14ac:dyDescent="0.3">
      <c r="A351" s="19"/>
      <c r="B351" s="28"/>
      <c r="C351" s="28" t="s">
        <v>228</v>
      </c>
      <c r="D351" s="1">
        <f>MAX(D348:D350)+NoOne</f>
        <v>3</v>
      </c>
      <c r="E351" s="17" t="s">
        <v>229</v>
      </c>
      <c r="F351" s="86" t="s">
        <v>225</v>
      </c>
      <c r="G351" s="22">
        <v>0</v>
      </c>
      <c r="H351" s="22">
        <v>0</v>
      </c>
      <c r="I351" s="22">
        <v>0</v>
      </c>
      <c r="J351" s="22">
        <v>0</v>
      </c>
      <c r="K351" s="22">
        <v>0</v>
      </c>
      <c r="L351" s="22">
        <v>0</v>
      </c>
      <c r="M351" s="22">
        <v>0</v>
      </c>
      <c r="N351" s="22">
        <v>0</v>
      </c>
      <c r="O351" s="22">
        <v>0</v>
      </c>
      <c r="P351" s="22">
        <v>0</v>
      </c>
      <c r="Q351" s="22">
        <v>0</v>
      </c>
      <c r="R351" s="22">
        <v>0</v>
      </c>
      <c r="S351" s="22">
        <v>0</v>
      </c>
      <c r="T351" s="22">
        <v>0</v>
      </c>
      <c r="U351" s="22">
        <v>0</v>
      </c>
      <c r="V351" s="22">
        <v>0</v>
      </c>
      <c r="X351" s="6"/>
      <c r="Y351" s="6"/>
      <c r="Z351" s="6"/>
      <c r="AA351" s="6"/>
      <c r="AB351" s="6"/>
      <c r="AC351" s="17" t="str">
        <f t="shared" si="94"/>
        <v>Industrial - Non-Firm</v>
      </c>
      <c r="AD351" s="6"/>
      <c r="AE351" s="22">
        <v>0</v>
      </c>
      <c r="AF351" s="22">
        <v>0</v>
      </c>
      <c r="AG351" s="6"/>
      <c r="AH351" s="6"/>
      <c r="AI351" s="6"/>
    </row>
    <row r="352" spans="1:35" ht="16.5" x14ac:dyDescent="0.3">
      <c r="A352" s="19"/>
      <c r="B352" s="28"/>
      <c r="C352" s="28"/>
      <c r="D352" s="1" t="s">
        <v>39</v>
      </c>
      <c r="E352" s="20" t="s">
        <v>230</v>
      </c>
      <c r="F352" s="86" t="s">
        <v>39</v>
      </c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X352" s="6"/>
      <c r="Y352" s="6"/>
      <c r="Z352" s="6"/>
      <c r="AA352" s="6"/>
      <c r="AB352" s="6"/>
      <c r="AC352" s="20" t="str">
        <f t="shared" si="94"/>
        <v>Rural</v>
      </c>
      <c r="AD352" s="6"/>
      <c r="AE352" s="6"/>
      <c r="AF352" s="6"/>
      <c r="AG352" s="6"/>
      <c r="AH352" s="6"/>
      <c r="AI352" s="6"/>
    </row>
    <row r="353" spans="1:35" ht="16.5" x14ac:dyDescent="0.3">
      <c r="A353" s="19"/>
      <c r="B353" s="28"/>
      <c r="C353" s="28" t="s">
        <v>231</v>
      </c>
      <c r="D353" s="1">
        <f t="shared" ref="D353" si="95">MAX(D350:D352)+NoOne</f>
        <v>4</v>
      </c>
      <c r="E353" s="6" t="s">
        <v>232</v>
      </c>
      <c r="F353" s="86" t="s">
        <v>225</v>
      </c>
      <c r="G353" s="22">
        <v>33032.894404811479</v>
      </c>
      <c r="H353" s="22">
        <v>123930.29141337438</v>
      </c>
      <c r="I353" s="22">
        <v>31652.321805780819</v>
      </c>
      <c r="J353" s="22">
        <v>31652.321805780819</v>
      </c>
      <c r="K353" s="22">
        <v>29316.627237629978</v>
      </c>
      <c r="L353" s="22">
        <v>29316.627237629978</v>
      </c>
      <c r="M353" s="22">
        <v>11493.898665000001</v>
      </c>
      <c r="N353" s="22">
        <v>25936.41080084311</v>
      </c>
      <c r="O353" s="22">
        <v>11493.898665000001</v>
      </c>
      <c r="P353" s="22">
        <v>25936.41080084311</v>
      </c>
      <c r="Q353" s="22">
        <v>11493.898665000001</v>
      </c>
      <c r="R353" s="22">
        <v>11493.898665000001</v>
      </c>
      <c r="S353" s="22">
        <v>11493.898665000001</v>
      </c>
      <c r="T353" s="22">
        <v>0</v>
      </c>
      <c r="U353" s="22">
        <v>11493.898665000001</v>
      </c>
      <c r="V353" s="22">
        <v>0</v>
      </c>
      <c r="X353" s="6"/>
      <c r="Y353" s="6"/>
      <c r="Z353" s="6"/>
      <c r="AA353" s="6"/>
      <c r="AB353" s="6"/>
      <c r="AC353" s="6" t="str">
        <f t="shared" si="94"/>
        <v>1.1 Domestic</v>
      </c>
      <c r="AD353" s="6"/>
      <c r="AE353" s="22">
        <v>13704052.872268097</v>
      </c>
      <c r="AF353" s="22">
        <v>13704052.872268097</v>
      </c>
      <c r="AG353" s="6"/>
      <c r="AH353" s="6"/>
      <c r="AI353" s="6"/>
    </row>
    <row r="354" spans="1:35" ht="16.5" x14ac:dyDescent="0.3">
      <c r="A354" s="19"/>
      <c r="B354" s="28"/>
      <c r="C354" s="28" t="s">
        <v>233</v>
      </c>
      <c r="D354" s="1">
        <f t="shared" ref="D354" si="96">MAX(D351:D353)+NoOne</f>
        <v>5</v>
      </c>
      <c r="E354" s="6" t="s">
        <v>234</v>
      </c>
      <c r="F354" s="86" t="s">
        <v>225</v>
      </c>
      <c r="G354" s="22">
        <v>38341.390881527077</v>
      </c>
      <c r="H354" s="22">
        <v>167083.2059911135</v>
      </c>
      <c r="I354" s="22">
        <v>36738.955654051213</v>
      </c>
      <c r="J354" s="22">
        <v>36738.955654051213</v>
      </c>
      <c r="K354" s="22">
        <v>34027.907166447694</v>
      </c>
      <c r="L354" s="22">
        <v>34027.907166447694</v>
      </c>
      <c r="M354" s="22">
        <v>8713.6013349999994</v>
      </c>
      <c r="N354" s="22">
        <v>30104.478656709522</v>
      </c>
      <c r="O354" s="22">
        <v>8713.6013349999994</v>
      </c>
      <c r="P354" s="22">
        <v>30104.478656709522</v>
      </c>
      <c r="Q354" s="22">
        <v>8713.6013349999994</v>
      </c>
      <c r="R354" s="22">
        <v>8713.6013349999994</v>
      </c>
      <c r="S354" s="22">
        <v>8713.6013349999994</v>
      </c>
      <c r="T354" s="22">
        <v>0</v>
      </c>
      <c r="U354" s="22">
        <v>8713.6013349999994</v>
      </c>
      <c r="V354" s="22">
        <v>0</v>
      </c>
      <c r="X354" s="6"/>
      <c r="Y354" s="6"/>
      <c r="Z354" s="6"/>
      <c r="AA354" s="6"/>
      <c r="AB354" s="6"/>
      <c r="AC354" s="6" t="str">
        <f t="shared" si="94"/>
        <v xml:space="preserve">1.12 Domestic All Electric </v>
      </c>
      <c r="AD354" s="6"/>
      <c r="AE354" s="22">
        <v>17350912.632529691</v>
      </c>
      <c r="AF354" s="22">
        <v>17350912.632529691</v>
      </c>
      <c r="AG354" s="6"/>
      <c r="AH354" s="6"/>
      <c r="AI354" s="6"/>
    </row>
    <row r="355" spans="1:35" ht="16.5" x14ac:dyDescent="0.3">
      <c r="A355" s="19"/>
      <c r="B355" s="28"/>
      <c r="C355" s="28" t="s">
        <v>235</v>
      </c>
      <c r="D355" s="1">
        <f t="shared" ref="D355" si="97">MAX(D352:D354)+NoOne</f>
        <v>6</v>
      </c>
      <c r="E355" s="6" t="s">
        <v>236</v>
      </c>
      <c r="F355" s="86" t="s">
        <v>225</v>
      </c>
      <c r="G355" s="22">
        <v>132.87059119312002</v>
      </c>
      <c r="H355" s="22">
        <v>392.92058243454392</v>
      </c>
      <c r="I355" s="22">
        <v>127.3174145574236</v>
      </c>
      <c r="J355" s="22">
        <v>127.3174145574236</v>
      </c>
      <c r="K355" s="22">
        <v>117.9223820085484</v>
      </c>
      <c r="L355" s="22">
        <v>117.9223820085484</v>
      </c>
      <c r="M355" s="22">
        <v>1</v>
      </c>
      <c r="N355" s="22">
        <v>104.32589388938578</v>
      </c>
      <c r="O355" s="22">
        <v>1</v>
      </c>
      <c r="P355" s="22">
        <v>104.32589388938578</v>
      </c>
      <c r="Q355" s="22">
        <v>1</v>
      </c>
      <c r="R355" s="22">
        <v>1</v>
      </c>
      <c r="S355" s="22">
        <v>1</v>
      </c>
      <c r="T355" s="22">
        <v>0</v>
      </c>
      <c r="U355" s="22">
        <v>1</v>
      </c>
      <c r="V355" s="22">
        <v>0</v>
      </c>
      <c r="X355" s="6"/>
      <c r="Y355" s="6"/>
      <c r="Z355" s="6"/>
      <c r="AA355" s="6"/>
      <c r="AB355" s="6"/>
      <c r="AC355" s="6" t="str">
        <f t="shared" si="94"/>
        <v>1.3 Special</v>
      </c>
      <c r="AD355" s="6"/>
      <c r="AE355" s="22">
        <v>19223.399999999998</v>
      </c>
      <c r="AF355" s="22">
        <v>19223.399999999998</v>
      </c>
      <c r="AG355" s="6"/>
      <c r="AH355" s="6"/>
      <c r="AI355" s="6"/>
    </row>
    <row r="356" spans="1:35" ht="16.5" x14ac:dyDescent="0.3">
      <c r="A356" s="19"/>
      <c r="B356" s="28"/>
      <c r="C356" s="28" t="s">
        <v>237</v>
      </c>
      <c r="D356" s="1">
        <f t="shared" ref="D356" si="98">MAX(D353:D355)+NoOne</f>
        <v>7</v>
      </c>
      <c r="E356" s="6" t="s">
        <v>238</v>
      </c>
      <c r="F356" s="86" t="s">
        <v>225</v>
      </c>
      <c r="G356" s="22">
        <v>15206.722803502131</v>
      </c>
      <c r="H356" s="22">
        <v>82954.250923847998</v>
      </c>
      <c r="I356" s="22">
        <v>14571.174959395807</v>
      </c>
      <c r="J356" s="22">
        <v>14571.174959395807</v>
      </c>
      <c r="K356" s="22">
        <v>13495.935853302155</v>
      </c>
      <c r="L356" s="22">
        <v>13495.935853302155</v>
      </c>
      <c r="M356" s="22">
        <v>3041.5</v>
      </c>
      <c r="N356" s="22">
        <v>11939.850160654752</v>
      </c>
      <c r="O356" s="22">
        <v>3041.5</v>
      </c>
      <c r="P356" s="22">
        <v>11939.850160654752</v>
      </c>
      <c r="Q356" s="22">
        <v>3041.5</v>
      </c>
      <c r="R356" s="22">
        <v>14508.335746630346</v>
      </c>
      <c r="S356" s="22">
        <v>14508.335746630346</v>
      </c>
      <c r="T356" s="22">
        <v>0</v>
      </c>
      <c r="U356" s="22">
        <v>3041.5</v>
      </c>
      <c r="V356" s="22">
        <v>0</v>
      </c>
      <c r="X356" s="6"/>
      <c r="Y356" s="6"/>
      <c r="Z356" s="6"/>
      <c r="AA356" s="6"/>
      <c r="AB356" s="6"/>
      <c r="AC356" s="6" t="str">
        <f t="shared" si="94"/>
        <v>2.1 GS 0-10 kW</v>
      </c>
      <c r="AD356" s="6"/>
      <c r="AE356" s="22">
        <v>9465474.5587237813</v>
      </c>
      <c r="AF356" s="22">
        <v>9465474.5587237813</v>
      </c>
      <c r="AG356" s="6"/>
      <c r="AH356" s="6"/>
      <c r="AI356" s="6"/>
    </row>
    <row r="357" spans="1:35" ht="16.5" x14ac:dyDescent="0.3">
      <c r="A357" s="19"/>
      <c r="B357" s="28"/>
      <c r="C357" s="28" t="s">
        <v>239</v>
      </c>
      <c r="D357" s="1">
        <f t="shared" ref="D357" si="99">MAX(D354:D356)+NoOne</f>
        <v>8</v>
      </c>
      <c r="E357" s="6" t="s">
        <v>240</v>
      </c>
      <c r="F357" s="86" t="s">
        <v>225</v>
      </c>
      <c r="G357" s="22">
        <v>0</v>
      </c>
      <c r="H357" s="22">
        <v>0</v>
      </c>
      <c r="I357" s="22">
        <v>0</v>
      </c>
      <c r="J357" s="22">
        <v>0</v>
      </c>
      <c r="K357" s="22">
        <v>0</v>
      </c>
      <c r="L357" s="22">
        <v>0</v>
      </c>
      <c r="M357" s="22">
        <v>0</v>
      </c>
      <c r="N357" s="22">
        <v>0</v>
      </c>
      <c r="O357" s="22">
        <v>0</v>
      </c>
      <c r="P357" s="22">
        <v>0</v>
      </c>
      <c r="Q357" s="22">
        <v>0</v>
      </c>
      <c r="R357" s="22">
        <v>0</v>
      </c>
      <c r="S357" s="22">
        <v>0</v>
      </c>
      <c r="T357" s="22">
        <v>0</v>
      </c>
      <c r="U357" s="22">
        <v>0</v>
      </c>
      <c r="V357" s="22">
        <v>0</v>
      </c>
      <c r="X357" s="6"/>
      <c r="Y357" s="6"/>
      <c r="Z357" s="6"/>
      <c r="AA357" s="6"/>
      <c r="AB357" s="6"/>
      <c r="AC357" s="6" t="str">
        <f t="shared" si="94"/>
        <v>2.2 GS 10-100 kW</v>
      </c>
      <c r="AD357" s="6"/>
      <c r="AE357" s="22">
        <v>0</v>
      </c>
      <c r="AF357" s="22">
        <v>0</v>
      </c>
      <c r="AG357" s="6"/>
      <c r="AH357" s="6"/>
      <c r="AI357" s="6"/>
    </row>
    <row r="358" spans="1:35" ht="16.5" x14ac:dyDescent="0.3">
      <c r="A358" s="19"/>
      <c r="B358" s="28"/>
      <c r="C358" s="28" t="s">
        <v>241</v>
      </c>
      <c r="D358" s="1">
        <f t="shared" ref="D358" si="100">MAX(D355:D357)+NoOne</f>
        <v>9</v>
      </c>
      <c r="E358" s="6" t="s">
        <v>242</v>
      </c>
      <c r="F358" s="86" t="s">
        <v>225</v>
      </c>
      <c r="G358" s="22">
        <v>10056.001782820453</v>
      </c>
      <c r="H358" s="22">
        <v>61765.191512199752</v>
      </c>
      <c r="I358" s="22">
        <v>9635.7225197612879</v>
      </c>
      <c r="J358" s="22">
        <v>9635.7225197612879</v>
      </c>
      <c r="K358" s="22">
        <v>8924.6813238669383</v>
      </c>
      <c r="L358" s="22">
        <v>8924.6813238669383</v>
      </c>
      <c r="M358" s="22">
        <v>83.5</v>
      </c>
      <c r="N358" s="22">
        <v>7321.4492405157407</v>
      </c>
      <c r="O358" s="22">
        <v>83.5</v>
      </c>
      <c r="P358" s="22">
        <v>7321.4492405157407</v>
      </c>
      <c r="Q358" s="22">
        <v>83.5</v>
      </c>
      <c r="R358" s="22">
        <v>703.02253484814344</v>
      </c>
      <c r="S358" s="22">
        <v>703.02253484814344</v>
      </c>
      <c r="T358" s="22">
        <v>0</v>
      </c>
      <c r="U358" s="22">
        <v>83.5</v>
      </c>
      <c r="V358" s="22">
        <v>0</v>
      </c>
      <c r="X358" s="6"/>
      <c r="Y358" s="6"/>
      <c r="Z358" s="6"/>
      <c r="AA358" s="6"/>
      <c r="AB358" s="6"/>
      <c r="AC358" s="6" t="str">
        <f t="shared" si="94"/>
        <v>2.3 GS 110-1,000 kVa</v>
      </c>
      <c r="AD358" s="6"/>
      <c r="AE358" s="22">
        <v>6141548.4442488831</v>
      </c>
      <c r="AF358" s="22">
        <v>6141548.4442488831</v>
      </c>
      <c r="AG358" s="6"/>
      <c r="AH358" s="6"/>
      <c r="AI358" s="6"/>
    </row>
    <row r="359" spans="1:35" ht="16.5" x14ac:dyDescent="0.3">
      <c r="A359" s="19"/>
      <c r="B359" s="28"/>
      <c r="C359" s="28" t="s">
        <v>243</v>
      </c>
      <c r="D359" s="1">
        <f t="shared" ref="D359" si="101">MAX(D356:D358)+NoOne</f>
        <v>10</v>
      </c>
      <c r="E359" s="6" t="s">
        <v>244</v>
      </c>
      <c r="F359" s="86" t="s">
        <v>225</v>
      </c>
      <c r="G359" s="22">
        <v>5870.2839954461024</v>
      </c>
      <c r="H359" s="22">
        <v>44444.834845810292</v>
      </c>
      <c r="I359" s="22">
        <v>5624.9420906973419</v>
      </c>
      <c r="J359" s="22">
        <v>5624.9420906973419</v>
      </c>
      <c r="K359" s="22">
        <v>5209.8652199382013</v>
      </c>
      <c r="L359" s="22">
        <v>5209.8652199382013</v>
      </c>
      <c r="M359" s="22">
        <v>8</v>
      </c>
      <c r="N359" s="22">
        <v>1902.3445380822127</v>
      </c>
      <c r="O359" s="22">
        <v>8</v>
      </c>
      <c r="P359" s="22">
        <v>1902.3445380822127</v>
      </c>
      <c r="Q359" s="22">
        <v>8</v>
      </c>
      <c r="R359" s="22">
        <v>67.355452440540688</v>
      </c>
      <c r="S359" s="22">
        <v>67.355452440540688</v>
      </c>
      <c r="T359" s="22">
        <v>0</v>
      </c>
      <c r="U359" s="22">
        <v>8</v>
      </c>
      <c r="V359" s="22">
        <v>0</v>
      </c>
      <c r="X359" s="6"/>
      <c r="Y359" s="6"/>
      <c r="Z359" s="6"/>
      <c r="AA359" s="6"/>
      <c r="AB359" s="6"/>
      <c r="AC359" s="6" t="str">
        <f t="shared" si="94"/>
        <v>2.4 GS Over 1,000 kVa</v>
      </c>
      <c r="AD359" s="6"/>
      <c r="AE359" s="22">
        <v>3400343.7999555697</v>
      </c>
      <c r="AF359" s="22">
        <v>3400343.7999555697</v>
      </c>
      <c r="AG359" s="6"/>
      <c r="AH359" s="6"/>
      <c r="AI359" s="6"/>
    </row>
    <row r="360" spans="1:35" ht="16.5" x14ac:dyDescent="0.3">
      <c r="A360" s="19"/>
      <c r="B360" s="28"/>
      <c r="C360" s="28" t="s">
        <v>245</v>
      </c>
      <c r="D360" s="1">
        <f t="shared" ref="D360" si="102">MAX(D357:D359)+NoOne</f>
        <v>11</v>
      </c>
      <c r="E360" s="6" t="s">
        <v>246</v>
      </c>
      <c r="F360" s="87" t="s">
        <v>225</v>
      </c>
      <c r="G360" s="22">
        <v>629.16376368647036</v>
      </c>
      <c r="H360" s="22">
        <v>2365.2910994621029</v>
      </c>
      <c r="I360" s="22">
        <v>602.86857314688427</v>
      </c>
      <c r="J360" s="22">
        <v>602.86857314688427</v>
      </c>
      <c r="K360" s="22">
        <v>558.38157278563892</v>
      </c>
      <c r="L360" s="22">
        <v>558.38157278563892</v>
      </c>
      <c r="M360" s="34">
        <v>1056.5</v>
      </c>
      <c r="N360" s="22">
        <v>494</v>
      </c>
      <c r="O360" s="34">
        <v>1056.5</v>
      </c>
      <c r="P360" s="22">
        <v>494</v>
      </c>
      <c r="Q360" s="34">
        <v>1056.5</v>
      </c>
      <c r="R360" s="34">
        <v>0</v>
      </c>
      <c r="S360" s="34">
        <v>0</v>
      </c>
      <c r="T360" s="34">
        <v>1</v>
      </c>
      <c r="U360" s="34">
        <v>1056.5</v>
      </c>
      <c r="V360" s="34">
        <v>0</v>
      </c>
      <c r="X360" s="6"/>
      <c r="Y360" s="6"/>
      <c r="Z360" s="6"/>
      <c r="AA360" s="6"/>
      <c r="AB360" s="6"/>
      <c r="AC360" s="6" t="str">
        <f t="shared" si="94"/>
        <v>4.1 Street and Area Lighting</v>
      </c>
      <c r="AD360" s="6"/>
      <c r="AE360" s="22">
        <v>993685.07999999973</v>
      </c>
      <c r="AF360" s="22">
        <v>993685.07999999973</v>
      </c>
      <c r="AG360" s="6"/>
      <c r="AH360" s="6"/>
      <c r="AI360" s="6"/>
    </row>
    <row r="361" spans="1:35" ht="16.5" x14ac:dyDescent="0.3">
      <c r="A361" s="28"/>
      <c r="B361" s="28"/>
      <c r="C361" s="29"/>
      <c r="D361" s="1">
        <f t="shared" ref="D361" si="103">MAX(D358:D360)+NoOne</f>
        <v>12</v>
      </c>
      <c r="E361" s="20" t="s">
        <v>247</v>
      </c>
      <c r="F361" s="88" t="s">
        <v>225</v>
      </c>
      <c r="G361" s="30">
        <f t="shared" ref="G361:V361" si="104">SUM(G353:G360)</f>
        <v>103269.32822298685</v>
      </c>
      <c r="H361" s="30">
        <f t="shared" si="104"/>
        <v>482935.98636824259</v>
      </c>
      <c r="I361" s="30">
        <f t="shared" si="104"/>
        <v>98953.303017390775</v>
      </c>
      <c r="J361" s="30">
        <f t="shared" si="104"/>
        <v>98953.303017390775</v>
      </c>
      <c r="K361" s="30">
        <f t="shared" si="104"/>
        <v>91651.320755979163</v>
      </c>
      <c r="L361" s="30">
        <f t="shared" si="104"/>
        <v>91651.320755979163</v>
      </c>
      <c r="M361" s="30">
        <f t="shared" si="104"/>
        <v>24398</v>
      </c>
      <c r="N361" s="30">
        <f t="shared" si="104"/>
        <v>77802.859290694716</v>
      </c>
      <c r="O361" s="30">
        <f t="shared" si="104"/>
        <v>24398</v>
      </c>
      <c r="P361" s="30">
        <f t="shared" si="104"/>
        <v>77802.859290694716</v>
      </c>
      <c r="Q361" s="30">
        <f t="shared" si="104"/>
        <v>24398</v>
      </c>
      <c r="R361" s="30">
        <f t="shared" si="104"/>
        <v>35487.213733919023</v>
      </c>
      <c r="S361" s="30">
        <f t="shared" si="104"/>
        <v>35487.213733919023</v>
      </c>
      <c r="T361" s="30">
        <f t="shared" si="104"/>
        <v>1</v>
      </c>
      <c r="U361" s="30">
        <f t="shared" si="104"/>
        <v>24398</v>
      </c>
      <c r="V361" s="30">
        <f t="shared" si="104"/>
        <v>0</v>
      </c>
      <c r="X361" s="6"/>
      <c r="Y361" s="6"/>
      <c r="Z361" s="6"/>
      <c r="AA361" s="6"/>
      <c r="AB361" s="6"/>
      <c r="AC361" s="20" t="str">
        <f t="shared" si="94"/>
        <v xml:space="preserve">    Subtotal Rural</v>
      </c>
      <c r="AD361" s="6"/>
      <c r="AE361" s="30">
        <f>SUM(AE353:AE360)</f>
        <v>51075240.787726022</v>
      </c>
      <c r="AF361" s="30">
        <f>SUM(AF353:AF360)</f>
        <v>51075240.787726022</v>
      </c>
      <c r="AG361" s="6"/>
      <c r="AH361" s="6"/>
      <c r="AI361" s="6"/>
    </row>
    <row r="362" spans="1:35" ht="16.5" x14ac:dyDescent="0.3">
      <c r="A362" s="28"/>
      <c r="B362" s="28"/>
      <c r="C362" s="26"/>
      <c r="D362" s="1"/>
      <c r="E362" s="6"/>
      <c r="F362" s="86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X362" s="6"/>
      <c r="Y362" s="6"/>
      <c r="Z362" s="6"/>
      <c r="AA362" s="6"/>
      <c r="AB362" s="6"/>
      <c r="AC362" s="6" t="str">
        <f t="shared" si="94"/>
        <v/>
      </c>
      <c r="AD362" s="6"/>
      <c r="AE362" s="6"/>
      <c r="AF362" s="6"/>
      <c r="AG362" s="6"/>
      <c r="AH362" s="6"/>
      <c r="AI362" s="6"/>
    </row>
    <row r="363" spans="1:35" ht="17.25" thickBot="1" x14ac:dyDescent="0.35">
      <c r="A363" s="28"/>
      <c r="B363" s="28"/>
      <c r="C363" s="29"/>
      <c r="D363" s="1">
        <f>MAX(D360:D362)+NoOne</f>
        <v>13</v>
      </c>
      <c r="E363" s="20" t="s">
        <v>248</v>
      </c>
      <c r="F363" s="89" t="s">
        <v>225</v>
      </c>
      <c r="G363" s="62">
        <f t="shared" ref="G363:V363" si="105">SUM(G361,G349:G351)</f>
        <v>1644377.6716193014</v>
      </c>
      <c r="H363" s="62">
        <f t="shared" si="105"/>
        <v>7416874.4779541465</v>
      </c>
      <c r="I363" s="62">
        <f t="shared" si="105"/>
        <v>1613309.1139459128</v>
      </c>
      <c r="J363" s="62">
        <f t="shared" si="105"/>
        <v>98953.303017390775</v>
      </c>
      <c r="K363" s="62">
        <f t="shared" si="105"/>
        <v>91651.320755979163</v>
      </c>
      <c r="L363" s="62">
        <f t="shared" si="105"/>
        <v>91651.320755979163</v>
      </c>
      <c r="M363" s="62">
        <f t="shared" si="105"/>
        <v>24398</v>
      </c>
      <c r="N363" s="62">
        <f t="shared" si="105"/>
        <v>77802.859290694716</v>
      </c>
      <c r="O363" s="62">
        <f t="shared" si="105"/>
        <v>24398</v>
      </c>
      <c r="P363" s="62">
        <f t="shared" si="105"/>
        <v>77802.859290694716</v>
      </c>
      <c r="Q363" s="62">
        <f t="shared" si="105"/>
        <v>24398</v>
      </c>
      <c r="R363" s="62">
        <f t="shared" si="105"/>
        <v>35487.213733919023</v>
      </c>
      <c r="S363" s="62">
        <f t="shared" si="105"/>
        <v>35487.213733919023</v>
      </c>
      <c r="T363" s="62">
        <f t="shared" si="105"/>
        <v>1</v>
      </c>
      <c r="U363" s="62">
        <f t="shared" si="105"/>
        <v>24398</v>
      </c>
      <c r="V363" s="62">
        <f t="shared" si="105"/>
        <v>0</v>
      </c>
      <c r="X363" s="6"/>
      <c r="Y363" s="6"/>
      <c r="Z363" s="6"/>
      <c r="AA363" s="6"/>
      <c r="AB363" s="6"/>
      <c r="AC363" s="20" t="str">
        <f t="shared" si="94"/>
        <v xml:space="preserve">      Total</v>
      </c>
      <c r="AD363" s="6"/>
      <c r="AE363" s="62">
        <f>SUM(AE361,AE349:AE351)</f>
        <v>51075240.787726022</v>
      </c>
      <c r="AF363" s="62">
        <f>SUM(AF361,AF349:AF351)</f>
        <v>579497361.78772604</v>
      </c>
      <c r="AG363" s="6"/>
      <c r="AH363" s="6"/>
      <c r="AI363" s="6"/>
    </row>
    <row r="364" spans="1:35" ht="17.25" thickTop="1" x14ac:dyDescent="0.3">
      <c r="A364" s="28"/>
      <c r="B364" s="28"/>
      <c r="C364" s="26"/>
      <c r="D364" s="1"/>
      <c r="E364" s="6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X364" s="6"/>
      <c r="Y364" s="6"/>
      <c r="Z364" s="6"/>
      <c r="AA364" s="6"/>
      <c r="AB364" s="6"/>
      <c r="AC364" s="6" t="str">
        <f t="shared" si="94"/>
        <v/>
      </c>
      <c r="AD364" s="6"/>
      <c r="AE364" s="6"/>
      <c r="AF364" s="6"/>
      <c r="AG364" s="6"/>
      <c r="AH364" s="6"/>
      <c r="AI364" s="6"/>
    </row>
    <row r="365" spans="1:35" ht="16.5" x14ac:dyDescent="0.3">
      <c r="A365" s="28"/>
      <c r="B365" s="28"/>
      <c r="C365" s="90"/>
      <c r="D365" s="1"/>
      <c r="E365" s="20" t="s">
        <v>249</v>
      </c>
      <c r="F365" s="91"/>
      <c r="G365" s="91"/>
      <c r="H365" s="91"/>
      <c r="I365" s="91"/>
      <c r="J365" s="91"/>
      <c r="K365" s="91"/>
      <c r="L365" s="91"/>
      <c r="M365" s="91"/>
      <c r="N365" s="91"/>
      <c r="O365" s="91"/>
      <c r="P365" s="91"/>
      <c r="Q365" s="91"/>
      <c r="R365" s="91"/>
      <c r="S365" s="91"/>
      <c r="T365" s="91"/>
      <c r="U365" s="91"/>
      <c r="V365" s="91"/>
      <c r="X365" s="6"/>
      <c r="Y365" s="6"/>
      <c r="Z365" s="6"/>
      <c r="AA365" s="6"/>
      <c r="AB365" s="6"/>
      <c r="AC365" s="20" t="str">
        <f t="shared" si="94"/>
        <v>Ratios Excluding Return on Equity</v>
      </c>
      <c r="AD365" s="6"/>
      <c r="AE365" s="6"/>
      <c r="AF365" s="6"/>
      <c r="AG365" s="6"/>
      <c r="AH365" s="6"/>
      <c r="AI365" s="6"/>
    </row>
    <row r="366" spans="1:35" ht="16.5" x14ac:dyDescent="0.3">
      <c r="A366" s="28"/>
      <c r="B366" s="28"/>
      <c r="C366" s="90"/>
      <c r="D366" s="1">
        <f>MAX(D363:D365)+NoOne</f>
        <v>14</v>
      </c>
      <c r="E366" s="6" t="str">
        <f>+E349</f>
        <v>Newfoundland Power</v>
      </c>
      <c r="F366" s="92" t="s">
        <v>225</v>
      </c>
      <c r="G366" s="93">
        <f>IF(G$363&lt;&gt;0,G349/G$363,0)</f>
        <v>0.88738604118773867</v>
      </c>
      <c r="H366" s="93">
        <v>0.8483695330439589</v>
      </c>
      <c r="I366" s="93">
        <f>IF(I$363&lt;&gt;0,I349/I$363,0)</f>
        <v>0.89001457100935721</v>
      </c>
      <c r="J366" s="93">
        <f t="shared" ref="J366:V368" si="106">IF(J$363&lt;&gt;0,J349/J$363,0)</f>
        <v>0</v>
      </c>
      <c r="K366" s="93">
        <f t="shared" si="106"/>
        <v>0</v>
      </c>
      <c r="L366" s="93">
        <f t="shared" si="106"/>
        <v>0</v>
      </c>
      <c r="M366" s="93">
        <f t="shared" si="106"/>
        <v>0</v>
      </c>
      <c r="N366" s="93">
        <f t="shared" si="106"/>
        <v>0</v>
      </c>
      <c r="O366" s="93">
        <f t="shared" si="106"/>
        <v>0</v>
      </c>
      <c r="P366" s="93">
        <f t="shared" si="106"/>
        <v>0</v>
      </c>
      <c r="Q366" s="93">
        <f t="shared" si="106"/>
        <v>0</v>
      </c>
      <c r="R366" s="93">
        <f t="shared" si="106"/>
        <v>0</v>
      </c>
      <c r="S366" s="93">
        <f t="shared" si="106"/>
        <v>0</v>
      </c>
      <c r="T366" s="93">
        <f t="shared" si="106"/>
        <v>0</v>
      </c>
      <c r="U366" s="93">
        <f t="shared" si="106"/>
        <v>0</v>
      </c>
      <c r="V366" s="94">
        <f t="shared" si="106"/>
        <v>0</v>
      </c>
      <c r="X366" s="6"/>
      <c r="Y366" s="6"/>
      <c r="Z366" s="1"/>
      <c r="AA366" s="6"/>
      <c r="AB366" s="6"/>
      <c r="AC366" s="6" t="str">
        <f t="shared" si="94"/>
        <v>Newfoundland Power</v>
      </c>
      <c r="AD366" s="6"/>
      <c r="AE366" s="94">
        <f t="shared" ref="AE366:AF368" si="107">IF(AE$363&lt;&gt;0,AE349/AE$363,0)</f>
        <v>0</v>
      </c>
      <c r="AF366" s="94">
        <f t="shared" si="107"/>
        <v>0.83608276231890521</v>
      </c>
      <c r="AG366" s="6"/>
      <c r="AH366" s="6"/>
      <c r="AI366" s="6"/>
    </row>
    <row r="367" spans="1:35" ht="16.5" x14ac:dyDescent="0.3">
      <c r="A367" s="28"/>
      <c r="B367" s="28"/>
      <c r="C367" s="90"/>
      <c r="D367" s="1">
        <f>MAX(D364:D366)+NoOne</f>
        <v>15</v>
      </c>
      <c r="E367" s="17" t="s">
        <v>227</v>
      </c>
      <c r="F367" s="92" t="s">
        <v>225</v>
      </c>
      <c r="G367" s="93">
        <f>IF(G$363&lt;&gt;0,G350/G$363,0)</f>
        <v>4.9812492941411594E-2</v>
      </c>
      <c r="H367" s="93">
        <v>8.6517326939485953E-2</v>
      </c>
      <c r="I367" s="93">
        <f>IF(I$363&lt;&gt;0,I350/I$363,0)</f>
        <v>4.8649816266453899E-2</v>
      </c>
      <c r="J367" s="93">
        <f t="shared" si="106"/>
        <v>0</v>
      </c>
      <c r="K367" s="93">
        <f t="shared" si="106"/>
        <v>0</v>
      </c>
      <c r="L367" s="93">
        <f t="shared" si="106"/>
        <v>0</v>
      </c>
      <c r="M367" s="93">
        <f t="shared" si="106"/>
        <v>0</v>
      </c>
      <c r="N367" s="93">
        <f t="shared" si="106"/>
        <v>0</v>
      </c>
      <c r="O367" s="93">
        <f t="shared" si="106"/>
        <v>0</v>
      </c>
      <c r="P367" s="93">
        <f t="shared" si="106"/>
        <v>0</v>
      </c>
      <c r="Q367" s="93">
        <f t="shared" si="106"/>
        <v>0</v>
      </c>
      <c r="R367" s="93">
        <f t="shared" si="106"/>
        <v>0</v>
      </c>
      <c r="S367" s="93">
        <f t="shared" si="106"/>
        <v>0</v>
      </c>
      <c r="T367" s="93">
        <f t="shared" si="106"/>
        <v>0</v>
      </c>
      <c r="U367" s="93">
        <f t="shared" si="106"/>
        <v>0</v>
      </c>
      <c r="V367" s="94">
        <f t="shared" si="106"/>
        <v>0</v>
      </c>
      <c r="X367" s="6"/>
      <c r="Y367" s="6"/>
      <c r="Z367" s="6"/>
      <c r="AA367" s="6"/>
      <c r="AB367" s="6"/>
      <c r="AC367" s="17" t="str">
        <f t="shared" si="94"/>
        <v>Industrial - Firm</v>
      </c>
      <c r="AD367" s="6"/>
      <c r="AE367" s="94">
        <f t="shared" si="107"/>
        <v>0</v>
      </c>
      <c r="AF367" s="94">
        <f t="shared" si="107"/>
        <v>7.5780096503849384E-2</v>
      </c>
      <c r="AG367" s="6"/>
      <c r="AH367" s="6"/>
      <c r="AI367" s="6"/>
    </row>
    <row r="368" spans="1:35" ht="16.5" x14ac:dyDescent="0.3">
      <c r="A368" s="28"/>
      <c r="B368" s="28"/>
      <c r="C368" s="90"/>
      <c r="D368" s="1">
        <f>MAX(D365:D367)+NoOne</f>
        <v>16</v>
      </c>
      <c r="E368" s="17" t="s">
        <v>229</v>
      </c>
      <c r="F368" s="92" t="s">
        <v>225</v>
      </c>
      <c r="G368" s="93">
        <f>IF(G$363&lt;&gt;0,G351/G$363,0)</f>
        <v>0</v>
      </c>
      <c r="H368" s="93">
        <f>IF(H$363&lt;&gt;0,H351/H$363,0)</f>
        <v>0</v>
      </c>
      <c r="I368" s="93">
        <f>IF(I$363&lt;&gt;0,I351/I$363,0)</f>
        <v>0</v>
      </c>
      <c r="J368" s="93">
        <f t="shared" si="106"/>
        <v>0</v>
      </c>
      <c r="K368" s="93">
        <f t="shared" si="106"/>
        <v>0</v>
      </c>
      <c r="L368" s="93">
        <f t="shared" si="106"/>
        <v>0</v>
      </c>
      <c r="M368" s="93">
        <f t="shared" si="106"/>
        <v>0</v>
      </c>
      <c r="N368" s="93">
        <f t="shared" si="106"/>
        <v>0</v>
      </c>
      <c r="O368" s="93">
        <f t="shared" si="106"/>
        <v>0</v>
      </c>
      <c r="P368" s="93">
        <f t="shared" si="106"/>
        <v>0</v>
      </c>
      <c r="Q368" s="93">
        <f t="shared" si="106"/>
        <v>0</v>
      </c>
      <c r="R368" s="93">
        <f t="shared" si="106"/>
        <v>0</v>
      </c>
      <c r="S368" s="93">
        <f t="shared" si="106"/>
        <v>0</v>
      </c>
      <c r="T368" s="93">
        <f t="shared" si="106"/>
        <v>0</v>
      </c>
      <c r="U368" s="93">
        <f t="shared" si="106"/>
        <v>0</v>
      </c>
      <c r="V368" s="94">
        <f t="shared" si="106"/>
        <v>0</v>
      </c>
      <c r="X368" s="6"/>
      <c r="Y368" s="6"/>
      <c r="Z368" s="6"/>
      <c r="AA368" s="6"/>
      <c r="AB368" s="6"/>
      <c r="AC368" s="17" t="str">
        <f t="shared" si="94"/>
        <v>Industrial - Non-Firm</v>
      </c>
      <c r="AD368" s="6"/>
      <c r="AE368" s="94">
        <f t="shared" si="107"/>
        <v>0</v>
      </c>
      <c r="AF368" s="94">
        <f t="shared" si="107"/>
        <v>0</v>
      </c>
      <c r="AG368" s="6"/>
      <c r="AH368" s="6"/>
      <c r="AI368" s="6"/>
    </row>
    <row r="369" spans="1:35" ht="16.5" x14ac:dyDescent="0.3">
      <c r="A369" s="28"/>
      <c r="B369" s="28"/>
      <c r="C369" s="90"/>
      <c r="D369" s="1"/>
      <c r="E369" s="20" t="s">
        <v>230</v>
      </c>
      <c r="F369" s="92" t="s">
        <v>39</v>
      </c>
      <c r="G369" s="93"/>
      <c r="H369" s="93"/>
      <c r="I369" s="93"/>
      <c r="J369" s="93"/>
      <c r="K369" s="93"/>
      <c r="L369" s="93"/>
      <c r="M369" s="93"/>
      <c r="N369" s="93"/>
      <c r="O369" s="93"/>
      <c r="P369" s="93"/>
      <c r="Q369" s="93"/>
      <c r="R369" s="93"/>
      <c r="S369" s="93"/>
      <c r="T369" s="93"/>
      <c r="U369" s="93"/>
      <c r="V369" s="93"/>
      <c r="X369" s="6"/>
      <c r="Y369" s="6"/>
      <c r="Z369" s="6"/>
      <c r="AA369" s="6"/>
      <c r="AB369" s="6"/>
      <c r="AC369" s="20" t="str">
        <f t="shared" si="94"/>
        <v>Rural</v>
      </c>
      <c r="AD369" s="6"/>
      <c r="AE369" s="93"/>
      <c r="AF369" s="93"/>
      <c r="AG369" s="6"/>
      <c r="AH369" s="6"/>
      <c r="AI369" s="6"/>
    </row>
    <row r="370" spans="1:35" ht="16.5" x14ac:dyDescent="0.3">
      <c r="A370" s="28"/>
      <c r="B370" s="28"/>
      <c r="C370" s="90"/>
      <c r="D370" s="1">
        <f t="shared" ref="D370:D378" si="108">MAX(D367:D369)+NoOne</f>
        <v>17</v>
      </c>
      <c r="E370" s="6" t="s">
        <v>232</v>
      </c>
      <c r="F370" s="92" t="s">
        <v>225</v>
      </c>
      <c r="G370" s="93">
        <f t="shared" ref="G370:G378" si="109">IF(G$363&lt;&gt;0,G353/G$363,0)</f>
        <v>2.008838661271916E-2</v>
      </c>
      <c r="H370" s="93">
        <v>1.6709234028665809E-2</v>
      </c>
      <c r="I370" s="93">
        <f t="shared" ref="I370:V378" si="110">IF(I$363&lt;&gt;0,I353/I$363,0)</f>
        <v>1.9619502259157252E-2</v>
      </c>
      <c r="J370" s="93">
        <f t="shared" si="110"/>
        <v>0.31987130131692532</v>
      </c>
      <c r="K370" s="93">
        <f t="shared" si="110"/>
        <v>0.31987130131692526</v>
      </c>
      <c r="L370" s="93">
        <f t="shared" si="110"/>
        <v>0.31987130131692526</v>
      </c>
      <c r="M370" s="93">
        <f t="shared" si="110"/>
        <v>0.47110003545372575</v>
      </c>
      <c r="N370" s="93">
        <f t="shared" si="110"/>
        <v>0.33336063786469511</v>
      </c>
      <c r="O370" s="93">
        <f t="shared" si="110"/>
        <v>0.47110003545372575</v>
      </c>
      <c r="P370" s="93">
        <f t="shared" si="110"/>
        <v>0.33336063786469511</v>
      </c>
      <c r="Q370" s="93">
        <f t="shared" si="110"/>
        <v>0.47110003545372575</v>
      </c>
      <c r="R370" s="93">
        <f t="shared" si="110"/>
        <v>0.32388845039175396</v>
      </c>
      <c r="S370" s="93">
        <f t="shared" si="110"/>
        <v>0.32388845039175396</v>
      </c>
      <c r="T370" s="93">
        <f t="shared" si="110"/>
        <v>0</v>
      </c>
      <c r="U370" s="93">
        <f t="shared" si="110"/>
        <v>0.47110003545372575</v>
      </c>
      <c r="V370" s="94">
        <f t="shared" si="110"/>
        <v>0</v>
      </c>
      <c r="X370" s="6"/>
      <c r="Y370" s="6"/>
      <c r="Z370" s="6"/>
      <c r="AA370" s="6"/>
      <c r="AB370" s="6"/>
      <c r="AC370" s="6" t="str">
        <f t="shared" si="94"/>
        <v>1.1 Domestic</v>
      </c>
      <c r="AD370" s="6"/>
      <c r="AE370" s="94">
        <f t="shared" ref="AE370:AF378" si="111">IF(AE$363&lt;&gt;0,AE353/AE$363,0)</f>
        <v>0.26831107716600999</v>
      </c>
      <c r="AF370" s="94">
        <f t="shared" si="111"/>
        <v>2.3648171287599388E-2</v>
      </c>
      <c r="AG370" s="6"/>
      <c r="AH370" s="6"/>
      <c r="AI370" s="6"/>
    </row>
    <row r="371" spans="1:35" ht="16.5" x14ac:dyDescent="0.3">
      <c r="A371" s="28"/>
      <c r="B371" s="28"/>
      <c r="C371" s="90"/>
      <c r="D371" s="1">
        <f t="shared" si="108"/>
        <v>18</v>
      </c>
      <c r="E371" s="6" t="s">
        <v>234</v>
      </c>
      <c r="F371" s="92" t="s">
        <v>225</v>
      </c>
      <c r="G371" s="93">
        <f t="shared" si="109"/>
        <v>2.331665744632155E-2</v>
      </c>
      <c r="H371" s="93">
        <v>2.2527441510268264E-2</v>
      </c>
      <c r="I371" s="93">
        <f t="shared" si="110"/>
        <v>2.2772421810841458E-2</v>
      </c>
      <c r="J371" s="93">
        <f t="shared" si="110"/>
        <v>0.37127568796358867</v>
      </c>
      <c r="K371" s="93">
        <f t="shared" si="110"/>
        <v>0.37127568796358862</v>
      </c>
      <c r="L371" s="93">
        <f t="shared" si="110"/>
        <v>0.37127568796358862</v>
      </c>
      <c r="M371" s="93">
        <f t="shared" si="110"/>
        <v>0.35714408291663247</v>
      </c>
      <c r="N371" s="93">
        <f t="shared" si="110"/>
        <v>0.38693280595550095</v>
      </c>
      <c r="O371" s="93">
        <f t="shared" si="110"/>
        <v>0.35714408291663247</v>
      </c>
      <c r="P371" s="93">
        <f t="shared" si="110"/>
        <v>0.38693280595550095</v>
      </c>
      <c r="Q371" s="93">
        <f t="shared" si="110"/>
        <v>0.35714408291663247</v>
      </c>
      <c r="R371" s="93">
        <f t="shared" si="110"/>
        <v>0.24554199719183517</v>
      </c>
      <c r="S371" s="93">
        <f t="shared" si="110"/>
        <v>0.24554199719183517</v>
      </c>
      <c r="T371" s="93">
        <f t="shared" si="110"/>
        <v>0</v>
      </c>
      <c r="U371" s="93">
        <f t="shared" si="110"/>
        <v>0.35714408291663247</v>
      </c>
      <c r="V371" s="94">
        <f t="shared" si="110"/>
        <v>0</v>
      </c>
      <c r="X371" s="6"/>
      <c r="Y371" s="6"/>
      <c r="Z371" s="6"/>
      <c r="AA371" s="6"/>
      <c r="AB371" s="6"/>
      <c r="AC371" s="6" t="str">
        <f t="shared" si="94"/>
        <v xml:space="preserve">1.12 Domestic All Electric </v>
      </c>
      <c r="AD371" s="6"/>
      <c r="AE371" s="94">
        <f t="shared" si="111"/>
        <v>0.33971279165656559</v>
      </c>
      <c r="AF371" s="94">
        <f t="shared" si="111"/>
        <v>2.994131427795085E-2</v>
      </c>
      <c r="AG371" s="6"/>
      <c r="AH371" s="6"/>
      <c r="AI371" s="6"/>
    </row>
    <row r="372" spans="1:35" ht="16.5" x14ac:dyDescent="0.3">
      <c r="A372" s="28"/>
      <c r="B372" s="28"/>
      <c r="C372" s="90"/>
      <c r="D372" s="1">
        <f t="shared" si="108"/>
        <v>19</v>
      </c>
      <c r="E372" s="6" t="s">
        <v>236</v>
      </c>
      <c r="F372" s="92" t="s">
        <v>225</v>
      </c>
      <c r="G372" s="93">
        <f t="shared" si="109"/>
        <v>8.080296484582867E-5</v>
      </c>
      <c r="H372" s="93">
        <v>5.2976571681569863E-5</v>
      </c>
      <c r="I372" s="93">
        <f t="shared" si="110"/>
        <v>7.8916937527256784E-5</v>
      </c>
      <c r="J372" s="93">
        <f t="shared" si="110"/>
        <v>1.2866413820976539E-3</v>
      </c>
      <c r="K372" s="93">
        <f t="shared" si="110"/>
        <v>1.2866413820976537E-3</v>
      </c>
      <c r="L372" s="93">
        <f t="shared" si="110"/>
        <v>1.2866413820976537E-3</v>
      </c>
      <c r="M372" s="93">
        <f t="shared" si="110"/>
        <v>4.0986966144765967E-5</v>
      </c>
      <c r="N372" s="93">
        <f t="shared" si="110"/>
        <v>1.3409005124039605E-3</v>
      </c>
      <c r="O372" s="93">
        <f t="shared" si="110"/>
        <v>4.0986966144765967E-5</v>
      </c>
      <c r="P372" s="93">
        <f t="shared" si="110"/>
        <v>1.3409005124039605E-3</v>
      </c>
      <c r="Q372" s="93">
        <f t="shared" si="110"/>
        <v>4.0986966144765967E-5</v>
      </c>
      <c r="R372" s="93">
        <f t="shared" si="110"/>
        <v>2.8179163557272752E-5</v>
      </c>
      <c r="S372" s="93">
        <f t="shared" si="110"/>
        <v>2.8179163557272752E-5</v>
      </c>
      <c r="T372" s="93">
        <f t="shared" si="110"/>
        <v>0</v>
      </c>
      <c r="U372" s="93">
        <f t="shared" si="110"/>
        <v>4.0986966144765967E-5</v>
      </c>
      <c r="V372" s="94">
        <f t="shared" si="110"/>
        <v>0</v>
      </c>
      <c r="X372" s="6"/>
      <c r="Y372" s="6"/>
      <c r="Z372" s="6"/>
      <c r="AA372" s="6"/>
      <c r="AB372" s="6"/>
      <c r="AC372" s="6" t="str">
        <f t="shared" si="94"/>
        <v>1.3 Special</v>
      </c>
      <c r="AD372" s="6"/>
      <c r="AE372" s="94">
        <f t="shared" si="111"/>
        <v>3.7637414339159819E-4</v>
      </c>
      <c r="AF372" s="94">
        <f t="shared" si="111"/>
        <v>3.3172541011570064E-5</v>
      </c>
      <c r="AG372" s="6"/>
      <c r="AH372" s="6"/>
      <c r="AI372" s="6"/>
    </row>
    <row r="373" spans="1:35" ht="16.5" x14ac:dyDescent="0.3">
      <c r="A373" s="28"/>
      <c r="B373" s="28"/>
      <c r="C373" s="90"/>
      <c r="D373" s="1">
        <f t="shared" si="108"/>
        <v>20</v>
      </c>
      <c r="E373" s="6" t="s">
        <v>238</v>
      </c>
      <c r="F373" s="92" t="s">
        <v>225</v>
      </c>
      <c r="G373" s="93">
        <f t="shared" si="109"/>
        <v>9.2477069385935567E-3</v>
      </c>
      <c r="H373" s="93">
        <v>1.1184529436276763E-2</v>
      </c>
      <c r="I373" s="93">
        <f t="shared" si="110"/>
        <v>9.0318556025242372E-3</v>
      </c>
      <c r="J373" s="93">
        <f t="shared" si="110"/>
        <v>0.14725304274921436</v>
      </c>
      <c r="K373" s="93">
        <f t="shared" si="110"/>
        <v>0.14725304274921433</v>
      </c>
      <c r="L373" s="93">
        <f t="shared" si="110"/>
        <v>0.14725304274921433</v>
      </c>
      <c r="M373" s="93">
        <f t="shared" si="110"/>
        <v>0.12466185752930568</v>
      </c>
      <c r="N373" s="93">
        <f t="shared" si="110"/>
        <v>0.15346287102436565</v>
      </c>
      <c r="O373" s="93">
        <f t="shared" si="110"/>
        <v>0.12466185752930568</v>
      </c>
      <c r="P373" s="93">
        <f t="shared" si="110"/>
        <v>0.15346287102436565</v>
      </c>
      <c r="Q373" s="93">
        <f t="shared" si="110"/>
        <v>0.12466185752930568</v>
      </c>
      <c r="R373" s="93">
        <f t="shared" si="110"/>
        <v>0.4088327659481234</v>
      </c>
      <c r="S373" s="93">
        <f t="shared" si="110"/>
        <v>0.4088327659481234</v>
      </c>
      <c r="T373" s="93">
        <f t="shared" si="110"/>
        <v>0</v>
      </c>
      <c r="U373" s="93">
        <f t="shared" si="110"/>
        <v>0.12466185752930568</v>
      </c>
      <c r="V373" s="94">
        <f t="shared" si="110"/>
        <v>0</v>
      </c>
      <c r="X373" s="6"/>
      <c r="Y373" s="6"/>
      <c r="Z373" s="6"/>
      <c r="AA373" s="6"/>
      <c r="AB373" s="6"/>
      <c r="AC373" s="6" t="str">
        <f t="shared" si="94"/>
        <v>2.1 GS 0-10 kW</v>
      </c>
      <c r="AD373" s="6"/>
      <c r="AE373" s="94">
        <f t="shared" si="111"/>
        <v>0.18532412990598071</v>
      </c>
      <c r="AF373" s="94">
        <f t="shared" si="111"/>
        <v>1.6333939001073574E-2</v>
      </c>
      <c r="AG373" s="6"/>
      <c r="AH373" s="6"/>
      <c r="AI373" s="6"/>
    </row>
    <row r="374" spans="1:35" ht="16.5" x14ac:dyDescent="0.3">
      <c r="A374" s="28"/>
      <c r="B374" s="28"/>
      <c r="C374" s="90"/>
      <c r="D374" s="1">
        <f t="shared" si="108"/>
        <v>21</v>
      </c>
      <c r="E374" s="6" t="s">
        <v>240</v>
      </c>
      <c r="F374" s="92" t="s">
        <v>225</v>
      </c>
      <c r="G374" s="93">
        <f t="shared" si="109"/>
        <v>0</v>
      </c>
      <c r="H374" s="93">
        <v>0</v>
      </c>
      <c r="I374" s="93">
        <f t="shared" si="110"/>
        <v>0</v>
      </c>
      <c r="J374" s="93">
        <f t="shared" si="110"/>
        <v>0</v>
      </c>
      <c r="K374" s="93">
        <f t="shared" si="110"/>
        <v>0</v>
      </c>
      <c r="L374" s="93">
        <f t="shared" si="110"/>
        <v>0</v>
      </c>
      <c r="M374" s="93">
        <f t="shared" si="110"/>
        <v>0</v>
      </c>
      <c r="N374" s="93">
        <f t="shared" si="110"/>
        <v>0</v>
      </c>
      <c r="O374" s="93">
        <f t="shared" si="110"/>
        <v>0</v>
      </c>
      <c r="P374" s="93">
        <f t="shared" si="110"/>
        <v>0</v>
      </c>
      <c r="Q374" s="93">
        <f t="shared" si="110"/>
        <v>0</v>
      </c>
      <c r="R374" s="93">
        <f t="shared" si="110"/>
        <v>0</v>
      </c>
      <c r="S374" s="93">
        <f t="shared" si="110"/>
        <v>0</v>
      </c>
      <c r="T374" s="93">
        <f t="shared" si="110"/>
        <v>0</v>
      </c>
      <c r="U374" s="93">
        <f t="shared" si="110"/>
        <v>0</v>
      </c>
      <c r="V374" s="94">
        <f t="shared" si="110"/>
        <v>0</v>
      </c>
      <c r="X374" s="6"/>
      <c r="Y374" s="6"/>
      <c r="Z374" s="6"/>
      <c r="AA374" s="6"/>
      <c r="AB374" s="6"/>
      <c r="AC374" s="6" t="str">
        <f t="shared" si="94"/>
        <v>2.2 GS 10-100 kW</v>
      </c>
      <c r="AD374" s="6"/>
      <c r="AE374" s="94">
        <f t="shared" si="111"/>
        <v>0</v>
      </c>
      <c r="AF374" s="94">
        <f t="shared" si="111"/>
        <v>0</v>
      </c>
      <c r="AG374" s="6"/>
      <c r="AH374" s="6"/>
      <c r="AI374" s="6"/>
    </row>
    <row r="375" spans="1:35" ht="16.5" x14ac:dyDescent="0.3">
      <c r="A375" s="28"/>
      <c r="B375" s="28"/>
      <c r="C375" s="90"/>
      <c r="D375" s="1">
        <f t="shared" si="108"/>
        <v>22</v>
      </c>
      <c r="E375" s="6" t="s">
        <v>242</v>
      </c>
      <c r="F375" s="92" t="s">
        <v>225</v>
      </c>
      <c r="G375" s="93">
        <f t="shared" si="109"/>
        <v>6.1153845350610985E-3</v>
      </c>
      <c r="H375" s="93">
        <v>8.3276576536100311E-3</v>
      </c>
      <c r="I375" s="93">
        <f t="shared" si="110"/>
        <v>5.9726449422911592E-3</v>
      </c>
      <c r="J375" s="93">
        <f t="shared" si="110"/>
        <v>9.7376461683829144E-2</v>
      </c>
      <c r="K375" s="93">
        <f t="shared" si="110"/>
        <v>9.737646168382913E-2</v>
      </c>
      <c r="L375" s="93">
        <f t="shared" si="110"/>
        <v>9.737646168382913E-2</v>
      </c>
      <c r="M375" s="93">
        <f t="shared" si="110"/>
        <v>3.422411673087958E-3</v>
      </c>
      <c r="N375" s="93">
        <f t="shared" si="110"/>
        <v>9.4102572929365233E-2</v>
      </c>
      <c r="O375" s="93">
        <f t="shared" si="110"/>
        <v>3.422411673087958E-3</v>
      </c>
      <c r="P375" s="93">
        <f t="shared" si="110"/>
        <v>9.4102572929365233E-2</v>
      </c>
      <c r="Q375" s="93">
        <f t="shared" si="110"/>
        <v>3.422411673087958E-3</v>
      </c>
      <c r="R375" s="93">
        <f t="shared" si="110"/>
        <v>1.9810586993934315E-2</v>
      </c>
      <c r="S375" s="93">
        <f t="shared" si="110"/>
        <v>1.9810586993934315E-2</v>
      </c>
      <c r="T375" s="93">
        <f t="shared" si="110"/>
        <v>0</v>
      </c>
      <c r="U375" s="93">
        <f t="shared" si="110"/>
        <v>3.422411673087958E-3</v>
      </c>
      <c r="V375" s="94">
        <f t="shared" si="110"/>
        <v>0</v>
      </c>
      <c r="X375" s="6"/>
      <c r="Y375" s="6"/>
      <c r="Z375" s="6"/>
      <c r="AA375" s="6"/>
      <c r="AB375" s="6"/>
      <c r="AC375" s="6" t="str">
        <f t="shared" si="94"/>
        <v>2.3 GS 110-1,000 kVa</v>
      </c>
      <c r="AD375" s="6"/>
      <c r="AE375" s="94">
        <f t="shared" si="111"/>
        <v>0.12024511973959737</v>
      </c>
      <c r="AF375" s="94">
        <f t="shared" si="111"/>
        <v>1.0598061094363662E-2</v>
      </c>
      <c r="AG375" s="6"/>
      <c r="AH375" s="6"/>
      <c r="AI375" s="6"/>
    </row>
    <row r="376" spans="1:35" ht="16.5" x14ac:dyDescent="0.3">
      <c r="A376" s="28"/>
      <c r="B376" s="28"/>
      <c r="C376" s="90"/>
      <c r="D376" s="1">
        <f t="shared" si="108"/>
        <v>23</v>
      </c>
      <c r="E376" s="6" t="s">
        <v>244</v>
      </c>
      <c r="F376" s="92" t="s">
        <v>225</v>
      </c>
      <c r="G376" s="93">
        <f t="shared" si="109"/>
        <v>3.5699122511590286E-3</v>
      </c>
      <c r="H376" s="93">
        <v>5.992394097799246E-3</v>
      </c>
      <c r="I376" s="93">
        <f t="shared" si="110"/>
        <v>3.4865866944367376E-3</v>
      </c>
      <c r="J376" s="93">
        <f t="shared" si="110"/>
        <v>5.6844409627324656E-2</v>
      </c>
      <c r="K376" s="93">
        <f t="shared" si="110"/>
        <v>5.6844409627324649E-2</v>
      </c>
      <c r="L376" s="93">
        <f t="shared" si="110"/>
        <v>5.6844409627324649E-2</v>
      </c>
      <c r="M376" s="93">
        <f t="shared" si="110"/>
        <v>3.2789572915812773E-4</v>
      </c>
      <c r="N376" s="93">
        <f t="shared" si="110"/>
        <v>2.4450830669018028E-2</v>
      </c>
      <c r="O376" s="93">
        <f t="shared" si="110"/>
        <v>3.2789572915812773E-4</v>
      </c>
      <c r="P376" s="93">
        <f t="shared" si="110"/>
        <v>2.4450830669018028E-2</v>
      </c>
      <c r="Q376" s="93">
        <f t="shared" si="110"/>
        <v>3.2789572915812773E-4</v>
      </c>
      <c r="R376" s="93">
        <f t="shared" si="110"/>
        <v>1.8980203107961022E-3</v>
      </c>
      <c r="S376" s="93">
        <f t="shared" si="110"/>
        <v>1.8980203107961022E-3</v>
      </c>
      <c r="T376" s="93">
        <f t="shared" si="110"/>
        <v>0</v>
      </c>
      <c r="U376" s="93">
        <f t="shared" si="110"/>
        <v>3.2789572915812773E-4</v>
      </c>
      <c r="V376" s="94">
        <f t="shared" si="110"/>
        <v>0</v>
      </c>
      <c r="X376" s="6"/>
      <c r="Y376" s="6"/>
      <c r="Z376" s="6"/>
      <c r="AA376" s="6"/>
      <c r="AB376" s="6"/>
      <c r="AC376" s="6" t="str">
        <f t="shared" si="94"/>
        <v>2.4 GS Over 1,000 kVa</v>
      </c>
      <c r="AD376" s="6"/>
      <c r="AE376" s="94">
        <f t="shared" si="111"/>
        <v>6.6575188829510371E-2</v>
      </c>
      <c r="AF376" s="94">
        <f t="shared" si="111"/>
        <v>5.8677468167683215E-3</v>
      </c>
      <c r="AG376" s="6"/>
      <c r="AH376" s="6"/>
      <c r="AI376" s="6"/>
    </row>
    <row r="377" spans="1:35" ht="16.5" x14ac:dyDescent="0.3">
      <c r="A377" s="28"/>
      <c r="B377" s="28"/>
      <c r="C377" s="90"/>
      <c r="D377" s="1">
        <f t="shared" si="108"/>
        <v>24</v>
      </c>
      <c r="E377" s="6" t="s">
        <v>246</v>
      </c>
      <c r="F377" s="92" t="s">
        <v>225</v>
      </c>
      <c r="G377" s="95">
        <f t="shared" si="109"/>
        <v>3.826151221494641E-4</v>
      </c>
      <c r="H377" s="95">
        <v>3.1890671825344672E-4</v>
      </c>
      <c r="I377" s="95">
        <f t="shared" si="110"/>
        <v>3.7368447741075356E-4</v>
      </c>
      <c r="J377" s="95">
        <f t="shared" si="110"/>
        <v>6.0924552770202298E-3</v>
      </c>
      <c r="K377" s="95">
        <f t="shared" si="110"/>
        <v>6.0924552770202289E-3</v>
      </c>
      <c r="L377" s="95">
        <f t="shared" si="110"/>
        <v>6.0924552770202289E-3</v>
      </c>
      <c r="M377" s="95">
        <f t="shared" si="110"/>
        <v>4.3302729731945239E-2</v>
      </c>
      <c r="N377" s="95">
        <f t="shared" si="110"/>
        <v>6.3493810446511806E-3</v>
      </c>
      <c r="O377" s="95">
        <f t="shared" si="110"/>
        <v>4.3302729731945239E-2</v>
      </c>
      <c r="P377" s="95">
        <f t="shared" si="110"/>
        <v>6.3493810446511806E-3</v>
      </c>
      <c r="Q377" s="95">
        <f t="shared" si="110"/>
        <v>4.3302729731945239E-2</v>
      </c>
      <c r="R377" s="95">
        <f t="shared" si="110"/>
        <v>0</v>
      </c>
      <c r="S377" s="95">
        <f t="shared" si="110"/>
        <v>0</v>
      </c>
      <c r="T377" s="95">
        <f t="shared" si="110"/>
        <v>1</v>
      </c>
      <c r="U377" s="95">
        <f t="shared" si="110"/>
        <v>4.3302729731945239E-2</v>
      </c>
      <c r="V377" s="96">
        <f t="shared" si="110"/>
        <v>0</v>
      </c>
      <c r="X377" s="6"/>
      <c r="Y377" s="6"/>
      <c r="Z377" s="6"/>
      <c r="AA377" s="6"/>
      <c r="AB377" s="6"/>
      <c r="AC377" s="6" t="str">
        <f t="shared" si="94"/>
        <v>4.1 Street and Area Lighting</v>
      </c>
      <c r="AD377" s="6"/>
      <c r="AE377" s="96">
        <f t="shared" si="111"/>
        <v>1.9455318558944393E-2</v>
      </c>
      <c r="AF377" s="96">
        <f t="shared" si="111"/>
        <v>1.7147361584779631E-3</v>
      </c>
      <c r="AG377" s="6"/>
      <c r="AH377" s="6"/>
      <c r="AI377" s="6"/>
    </row>
    <row r="378" spans="1:35" ht="16.5" x14ac:dyDescent="0.3">
      <c r="A378" s="28"/>
      <c r="B378" s="28"/>
      <c r="C378" s="97"/>
      <c r="D378" s="1">
        <f t="shared" si="108"/>
        <v>25</v>
      </c>
      <c r="E378" s="20" t="s">
        <v>247</v>
      </c>
      <c r="F378" s="98" t="s">
        <v>225</v>
      </c>
      <c r="G378" s="99">
        <f t="shared" si="109"/>
        <v>6.2801465870849699E-2</v>
      </c>
      <c r="H378" s="99">
        <v>6.5113140016555132E-2</v>
      </c>
      <c r="I378" s="99">
        <f t="shared" si="110"/>
        <v>6.1335612724188852E-2</v>
      </c>
      <c r="J378" s="99">
        <f t="shared" si="110"/>
        <v>1</v>
      </c>
      <c r="K378" s="99">
        <f t="shared" si="110"/>
        <v>1</v>
      </c>
      <c r="L378" s="99">
        <f t="shared" si="110"/>
        <v>1</v>
      </c>
      <c r="M378" s="99">
        <f t="shared" si="110"/>
        <v>1</v>
      </c>
      <c r="N378" s="99">
        <f t="shared" si="110"/>
        <v>1</v>
      </c>
      <c r="O378" s="99">
        <f t="shared" si="110"/>
        <v>1</v>
      </c>
      <c r="P378" s="99">
        <f t="shared" si="110"/>
        <v>1</v>
      </c>
      <c r="Q378" s="99">
        <f t="shared" si="110"/>
        <v>1</v>
      </c>
      <c r="R378" s="99">
        <f t="shared" si="110"/>
        <v>1</v>
      </c>
      <c r="S378" s="99">
        <f t="shared" si="110"/>
        <v>1</v>
      </c>
      <c r="T378" s="99">
        <f t="shared" si="110"/>
        <v>1</v>
      </c>
      <c r="U378" s="99">
        <f t="shared" si="110"/>
        <v>1</v>
      </c>
      <c r="V378" s="100">
        <f t="shared" si="110"/>
        <v>0</v>
      </c>
      <c r="X378" s="6"/>
      <c r="Y378" s="6"/>
      <c r="Z378" s="6"/>
      <c r="AA378" s="6"/>
      <c r="AB378" s="6"/>
      <c r="AC378" s="20" t="str">
        <f t="shared" si="94"/>
        <v xml:space="preserve">    Subtotal Rural</v>
      </c>
      <c r="AD378" s="6"/>
      <c r="AE378" s="100">
        <f t="shared" si="111"/>
        <v>1</v>
      </c>
      <c r="AF378" s="100">
        <f t="shared" si="111"/>
        <v>8.8137141177245332E-2</v>
      </c>
      <c r="AG378" s="6"/>
      <c r="AH378" s="6"/>
      <c r="AI378" s="6"/>
    </row>
    <row r="379" spans="1:35" ht="16.5" x14ac:dyDescent="0.3">
      <c r="A379" s="28"/>
      <c r="B379" s="28"/>
      <c r="C379" s="97"/>
      <c r="D379" s="1"/>
      <c r="E379" s="20"/>
      <c r="F379" s="101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3"/>
      <c r="X379" s="6"/>
      <c r="Y379" s="6"/>
      <c r="Z379" s="6"/>
      <c r="AA379" s="6"/>
      <c r="AB379" s="6"/>
      <c r="AC379" s="20" t="str">
        <f t="shared" si="94"/>
        <v/>
      </c>
      <c r="AD379" s="6"/>
      <c r="AE379" s="103"/>
      <c r="AF379" s="103"/>
      <c r="AG379" s="6"/>
      <c r="AH379" s="6"/>
      <c r="AI379" s="6"/>
    </row>
    <row r="380" spans="1:35" ht="17.25" thickBot="1" x14ac:dyDescent="0.35">
      <c r="A380" s="28"/>
      <c r="B380" s="28"/>
      <c r="C380" s="97"/>
      <c r="D380" s="1">
        <f>MAX(D377:D379)+NoOne</f>
        <v>26</v>
      </c>
      <c r="E380" s="20" t="s">
        <v>248</v>
      </c>
      <c r="F380" s="104" t="s">
        <v>225</v>
      </c>
      <c r="G380" s="105">
        <f>SUM(G378,G366:G368)</f>
        <v>0.99999999999999989</v>
      </c>
      <c r="H380" s="105">
        <f>SUM(H378,H366:H368)</f>
        <v>1</v>
      </c>
      <c r="I380" s="105">
        <f>SUM(I378,I366:I368)</f>
        <v>1</v>
      </c>
      <c r="J380" s="105">
        <f t="shared" ref="J380:V380" si="112">SUM(J378,J366:J368)</f>
        <v>1</v>
      </c>
      <c r="K380" s="105">
        <f t="shared" si="112"/>
        <v>1</v>
      </c>
      <c r="L380" s="105">
        <f t="shared" si="112"/>
        <v>1</v>
      </c>
      <c r="M380" s="105">
        <f t="shared" si="112"/>
        <v>1</v>
      </c>
      <c r="N380" s="105">
        <f t="shared" si="112"/>
        <v>1</v>
      </c>
      <c r="O380" s="105">
        <f t="shared" si="112"/>
        <v>1</v>
      </c>
      <c r="P380" s="105">
        <f t="shared" si="112"/>
        <v>1</v>
      </c>
      <c r="Q380" s="105">
        <f t="shared" si="112"/>
        <v>1</v>
      </c>
      <c r="R380" s="105">
        <f t="shared" si="112"/>
        <v>1</v>
      </c>
      <c r="S380" s="105">
        <f t="shared" si="112"/>
        <v>1</v>
      </c>
      <c r="T380" s="105">
        <f t="shared" si="112"/>
        <v>1</v>
      </c>
      <c r="U380" s="105">
        <f t="shared" si="112"/>
        <v>1</v>
      </c>
      <c r="V380" s="105">
        <f t="shared" si="112"/>
        <v>0</v>
      </c>
      <c r="X380" s="6"/>
      <c r="Y380" s="6"/>
      <c r="Z380" s="6"/>
      <c r="AA380" s="6"/>
      <c r="AB380" s="6"/>
      <c r="AC380" s="20" t="str">
        <f t="shared" si="94"/>
        <v xml:space="preserve">      Total</v>
      </c>
      <c r="AD380" s="6"/>
      <c r="AE380" s="105">
        <f>SUM(AE378,AE366:AE368)</f>
        <v>1</v>
      </c>
      <c r="AF380" s="105">
        <f>SUM(AF378,AF366:AF368)</f>
        <v>1</v>
      </c>
      <c r="AG380" s="6"/>
      <c r="AH380" s="6"/>
      <c r="AI380" s="6"/>
    </row>
    <row r="381" spans="1:35" ht="17.25" thickTop="1" x14ac:dyDescent="0.3">
      <c r="A381" s="28"/>
      <c r="B381" s="28"/>
      <c r="C381" s="97"/>
      <c r="D381" s="1"/>
      <c r="E381" s="20"/>
      <c r="F381" s="101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3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</row>
    <row r="382" spans="1:35" ht="16.5" x14ac:dyDescent="0.3">
      <c r="A382" s="28"/>
      <c r="B382" s="28"/>
      <c r="C382" s="97"/>
      <c r="D382" s="1"/>
      <c r="E382" s="106"/>
      <c r="F382" s="106"/>
      <c r="G382" s="106"/>
      <c r="H382" s="106"/>
      <c r="I382" s="106"/>
      <c r="J382" s="106"/>
      <c r="K382" s="106"/>
      <c r="L382" s="106"/>
      <c r="M382" s="106"/>
      <c r="N382" s="106"/>
      <c r="O382" s="106"/>
      <c r="P382" s="106"/>
      <c r="Q382" s="106"/>
      <c r="R382" s="106"/>
      <c r="S382" s="106"/>
      <c r="T382" s="106"/>
      <c r="U382" s="106"/>
      <c r="V382" s="10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</row>
    <row r="383" spans="1:35" ht="16.5" x14ac:dyDescent="0.3">
      <c r="A383" s="28"/>
      <c r="B383" s="28"/>
      <c r="C383" s="97"/>
      <c r="D383" s="1"/>
      <c r="E383" s="106"/>
      <c r="F383" s="106"/>
      <c r="G383" s="106"/>
      <c r="H383" s="106"/>
      <c r="I383" s="106"/>
      <c r="J383" s="106"/>
      <c r="K383" s="106"/>
      <c r="L383" s="106"/>
      <c r="M383" s="106"/>
      <c r="N383" s="106"/>
      <c r="O383" s="106"/>
      <c r="P383" s="106"/>
      <c r="Q383" s="106"/>
      <c r="R383" s="106"/>
      <c r="S383" s="106"/>
      <c r="T383" s="106"/>
      <c r="U383" s="106"/>
      <c r="V383" s="10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</row>
    <row r="384" spans="1:35" ht="16.5" x14ac:dyDescent="0.3">
      <c r="A384" s="28"/>
      <c r="B384" s="28"/>
      <c r="C384" s="97"/>
      <c r="D384" s="1"/>
      <c r="E384" s="106"/>
      <c r="F384" s="106"/>
      <c r="G384" s="106"/>
      <c r="H384" s="106"/>
      <c r="I384" s="106"/>
      <c r="J384" s="106"/>
      <c r="K384" s="106"/>
      <c r="L384" s="106"/>
      <c r="M384" s="106"/>
      <c r="N384" s="106"/>
      <c r="O384" s="106"/>
      <c r="P384" s="106"/>
      <c r="Q384" s="106"/>
      <c r="R384" s="106"/>
      <c r="S384" s="106"/>
      <c r="T384" s="106"/>
      <c r="U384" s="106"/>
      <c r="V384" s="10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</row>
    <row r="385" spans="1:35" ht="16.5" x14ac:dyDescent="0.3">
      <c r="A385" s="28"/>
      <c r="B385" s="28"/>
      <c r="C385" s="97"/>
      <c r="D385" s="1"/>
      <c r="E385" s="106"/>
      <c r="F385" s="106"/>
      <c r="G385" s="106"/>
      <c r="H385" s="106"/>
      <c r="I385" s="106"/>
      <c r="J385" s="106"/>
      <c r="K385" s="106"/>
      <c r="L385" s="106"/>
      <c r="M385" s="106"/>
      <c r="N385" s="106"/>
      <c r="O385" s="106"/>
      <c r="P385" s="106"/>
      <c r="Q385" s="106"/>
      <c r="R385" s="106"/>
      <c r="S385" s="106"/>
      <c r="T385" s="106"/>
      <c r="U385" s="106"/>
      <c r="V385" s="10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</row>
    <row r="386" spans="1:35" ht="16.5" x14ac:dyDescent="0.3">
      <c r="A386" s="28"/>
      <c r="B386" s="28"/>
      <c r="C386" s="97"/>
      <c r="D386" s="1"/>
      <c r="E386" s="106"/>
      <c r="F386" s="106"/>
      <c r="G386" s="106"/>
      <c r="H386" s="106"/>
      <c r="I386" s="106"/>
      <c r="J386" s="106"/>
      <c r="K386" s="106"/>
      <c r="L386" s="106"/>
      <c r="M386" s="106"/>
      <c r="N386" s="106"/>
      <c r="O386" s="106"/>
      <c r="P386" s="106"/>
      <c r="Q386" s="106"/>
      <c r="R386" s="106"/>
      <c r="S386" s="106"/>
      <c r="T386" s="106"/>
      <c r="U386" s="106"/>
      <c r="V386" s="10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</row>
    <row r="387" spans="1:35" ht="16.5" x14ac:dyDescent="0.3">
      <c r="A387" s="28"/>
      <c r="B387" s="28"/>
      <c r="C387" s="97"/>
      <c r="D387" s="1"/>
      <c r="E387" s="106"/>
      <c r="F387" s="106"/>
      <c r="G387" s="106"/>
      <c r="H387" s="106"/>
      <c r="I387" s="106"/>
      <c r="J387" s="106"/>
      <c r="K387" s="106"/>
      <c r="L387" s="106"/>
      <c r="M387" s="106"/>
      <c r="N387" s="106"/>
      <c r="O387" s="106"/>
      <c r="P387" s="106"/>
      <c r="Q387" s="106"/>
      <c r="R387" s="106"/>
      <c r="S387" s="106"/>
      <c r="T387" s="106"/>
      <c r="U387" s="106"/>
      <c r="V387" s="10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</row>
    <row r="388" spans="1:35" ht="16.5" x14ac:dyDescent="0.3">
      <c r="A388" s="28"/>
      <c r="B388" s="28"/>
      <c r="C388" s="19"/>
      <c r="D388" s="1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</row>
    <row r="389" spans="1:35" ht="16.5" x14ac:dyDescent="0.3">
      <c r="A389" s="28"/>
      <c r="B389" s="28"/>
      <c r="C389" s="19"/>
      <c r="D389" s="1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7" t="s">
        <v>493</v>
      </c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42" t="str">
        <f>+V389</f>
        <v>Schedule G 3.2A</v>
      </c>
    </row>
    <row r="390" spans="1:35" ht="16.5" x14ac:dyDescent="0.3">
      <c r="A390" s="28"/>
      <c r="B390" s="28"/>
      <c r="C390" s="19"/>
      <c r="D390" s="1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7" t="s">
        <v>251</v>
      </c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7" t="s">
        <v>252</v>
      </c>
    </row>
    <row r="391" spans="1:35" ht="16.5" x14ac:dyDescent="0.3">
      <c r="A391" s="43"/>
      <c r="B391" s="43"/>
      <c r="C391" s="107"/>
      <c r="D391" s="8" t="str">
        <f>$D$5</f>
        <v>NEWFOUNDLAND AND LABRADOR HYDRO</v>
      </c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X391" s="6"/>
      <c r="Y391" s="6"/>
      <c r="Z391" s="6"/>
      <c r="AA391" s="9" t="s">
        <v>6</v>
      </c>
      <c r="AB391" s="9"/>
      <c r="AC391" s="10"/>
      <c r="AD391" s="9"/>
      <c r="AE391" s="9"/>
      <c r="AF391" s="9"/>
      <c r="AG391" s="9"/>
      <c r="AH391" s="11"/>
      <c r="AI391" s="11"/>
    </row>
    <row r="392" spans="1:35" ht="16.5" x14ac:dyDescent="0.3">
      <c r="A392" s="43"/>
      <c r="B392" s="43"/>
      <c r="C392" s="107"/>
      <c r="D392" s="8" t="str">
        <f>$D$6</f>
        <v>2027 Test Year Cost of Service Study (No Rate Mitigation)</v>
      </c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X392" s="6"/>
      <c r="Y392" s="6"/>
      <c r="Z392" s="1"/>
      <c r="AA392" s="9" t="str">
        <f>RunName</f>
        <v>2027 Test Year Cost of Service Study (No Rate Mitigation)</v>
      </c>
      <c r="AB392" s="9"/>
      <c r="AC392" s="10"/>
      <c r="AD392" s="9"/>
      <c r="AE392" s="9"/>
      <c r="AF392" s="9"/>
      <c r="AG392" s="9"/>
      <c r="AH392" s="11"/>
      <c r="AI392" s="11"/>
    </row>
    <row r="393" spans="1:35" ht="16.5" x14ac:dyDescent="0.3">
      <c r="A393" s="43"/>
      <c r="B393" s="43"/>
      <c r="C393" s="107"/>
      <c r="D393" s="8" t="str">
        <f>$B$1</f>
        <v>Island Interconnected</v>
      </c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X393" s="6"/>
      <c r="Y393" s="6"/>
      <c r="Z393" s="6"/>
      <c r="AA393" s="9" t="str">
        <f>$B$1</f>
        <v>Island Interconnected</v>
      </c>
      <c r="AB393" s="9"/>
      <c r="AC393" s="10"/>
      <c r="AD393" s="9"/>
      <c r="AE393" s="9"/>
      <c r="AF393" s="9"/>
      <c r="AG393" s="9"/>
      <c r="AH393" s="11"/>
      <c r="AI393" s="11"/>
    </row>
    <row r="394" spans="1:35" ht="16.5" x14ac:dyDescent="0.3">
      <c r="A394" s="43"/>
      <c r="B394" s="43"/>
      <c r="C394" s="107"/>
      <c r="D394" s="8" t="s">
        <v>253</v>
      </c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X394" s="6"/>
      <c r="Y394" s="6"/>
      <c r="Z394" s="6"/>
      <c r="AA394" s="9" t="str">
        <f>+D394&amp;" (CONT'D.)"</f>
        <v>Allocation of Functionalized Amounts to Classes of Service (CONT'D.)</v>
      </c>
      <c r="AB394" s="9"/>
      <c r="AC394" s="10"/>
      <c r="AD394" s="9"/>
      <c r="AE394" s="9"/>
      <c r="AF394" s="9"/>
      <c r="AG394" s="9"/>
      <c r="AH394" s="11"/>
      <c r="AI394" s="11"/>
    </row>
    <row r="395" spans="1:35" s="12" customFormat="1" ht="16.5" x14ac:dyDescent="0.3">
      <c r="A395" s="45"/>
      <c r="B395" s="45"/>
      <c r="C395" s="15"/>
      <c r="D395" s="1"/>
      <c r="E395" s="1">
        <f t="shared" ref="E395:V395" si="113">MAX(D395)+NoOne</f>
        <v>1</v>
      </c>
      <c r="F395" s="1">
        <f t="shared" si="113"/>
        <v>2</v>
      </c>
      <c r="G395" s="1">
        <f t="shared" si="113"/>
        <v>3</v>
      </c>
      <c r="H395" s="1">
        <f t="shared" si="113"/>
        <v>4</v>
      </c>
      <c r="I395" s="1">
        <f t="shared" si="113"/>
        <v>5</v>
      </c>
      <c r="J395" s="1">
        <f t="shared" si="113"/>
        <v>6</v>
      </c>
      <c r="K395" s="1">
        <f t="shared" si="113"/>
        <v>7</v>
      </c>
      <c r="L395" s="1">
        <f t="shared" si="113"/>
        <v>8</v>
      </c>
      <c r="M395" s="1">
        <f t="shared" si="113"/>
        <v>9</v>
      </c>
      <c r="N395" s="1">
        <f t="shared" si="113"/>
        <v>10</v>
      </c>
      <c r="O395" s="1">
        <f t="shared" si="113"/>
        <v>11</v>
      </c>
      <c r="P395" s="1">
        <f t="shared" si="113"/>
        <v>12</v>
      </c>
      <c r="Q395" s="1">
        <f t="shared" si="113"/>
        <v>13</v>
      </c>
      <c r="R395" s="1">
        <f t="shared" si="113"/>
        <v>14</v>
      </c>
      <c r="S395" s="1">
        <f t="shared" si="113"/>
        <v>15</v>
      </c>
      <c r="T395" s="1">
        <f t="shared" si="113"/>
        <v>16</v>
      </c>
      <c r="U395" s="1">
        <f t="shared" si="113"/>
        <v>17</v>
      </c>
      <c r="V395" s="1">
        <f t="shared" si="113"/>
        <v>18</v>
      </c>
      <c r="X395" s="13"/>
      <c r="Y395" s="13"/>
      <c r="Z395" s="13"/>
      <c r="AA395" s="6"/>
      <c r="AB395" s="6"/>
      <c r="AC395" s="1">
        <f>MAX(AB395)+NoOne</f>
        <v>1</v>
      </c>
      <c r="AD395" s="13"/>
      <c r="AE395" s="1">
        <f>MAX(V395)+NoOne</f>
        <v>19</v>
      </c>
      <c r="AF395" s="1">
        <f>MAX(AE395)+NoOne</f>
        <v>20</v>
      </c>
      <c r="AG395" s="6"/>
      <c r="AH395" s="6"/>
      <c r="AI395" s="6"/>
    </row>
    <row r="396" spans="1:35" s="12" customFormat="1" ht="16.5" x14ac:dyDescent="0.3">
      <c r="A396" s="45"/>
      <c r="B396" s="45"/>
      <c r="C396" s="15"/>
      <c r="D396" s="1"/>
      <c r="E396" s="13"/>
      <c r="F396" s="13"/>
      <c r="G396" s="13"/>
      <c r="H396" s="13"/>
      <c r="I396" s="13"/>
      <c r="J396" s="13" t="s">
        <v>8</v>
      </c>
      <c r="K396" s="14" t="s">
        <v>9</v>
      </c>
      <c r="L396" s="14"/>
      <c r="M396" s="14"/>
      <c r="N396" s="14"/>
      <c r="O396" s="14"/>
      <c r="P396" s="14"/>
      <c r="Q396" s="14"/>
      <c r="R396" s="14"/>
      <c r="S396" s="14"/>
      <c r="T396" s="14"/>
      <c r="U396" s="6"/>
      <c r="V396" s="13" t="s">
        <v>10</v>
      </c>
      <c r="X396" s="13"/>
      <c r="Y396" s="13"/>
      <c r="Z396" s="13"/>
      <c r="AA396" s="13"/>
      <c r="AB396" s="13"/>
      <c r="AE396" s="78" t="s">
        <v>135</v>
      </c>
      <c r="AF396" s="65"/>
      <c r="AG396" s="13"/>
      <c r="AH396" s="13"/>
      <c r="AI396" s="13"/>
    </row>
    <row r="397" spans="1:35" s="12" customFormat="1" ht="16.5" x14ac:dyDescent="0.3">
      <c r="A397" s="45"/>
      <c r="B397" s="45"/>
      <c r="C397" s="15"/>
      <c r="D397" s="1" t="s">
        <v>14</v>
      </c>
      <c r="E397" s="13"/>
      <c r="F397" s="13" t="s">
        <v>15</v>
      </c>
      <c r="G397" s="13" t="s">
        <v>16</v>
      </c>
      <c r="H397" s="13" t="s">
        <v>16</v>
      </c>
      <c r="I397" s="13" t="s">
        <v>17</v>
      </c>
      <c r="J397" s="13" t="s">
        <v>17</v>
      </c>
      <c r="K397" s="13" t="s">
        <v>18</v>
      </c>
      <c r="L397" s="14" t="s">
        <v>19</v>
      </c>
      <c r="M397" s="14"/>
      <c r="N397" s="14" t="s">
        <v>20</v>
      </c>
      <c r="O397" s="14"/>
      <c r="P397" s="14" t="s">
        <v>21</v>
      </c>
      <c r="Q397" s="14"/>
      <c r="R397" s="48" t="s">
        <v>22</v>
      </c>
      <c r="S397" s="48" t="s">
        <v>23</v>
      </c>
      <c r="T397" s="49" t="s">
        <v>24</v>
      </c>
      <c r="U397" s="48" t="s">
        <v>25</v>
      </c>
      <c r="V397" s="13" t="s">
        <v>26</v>
      </c>
      <c r="X397" s="13"/>
      <c r="Y397" s="13"/>
      <c r="Z397" s="13"/>
      <c r="AA397" s="6"/>
      <c r="AB397" s="6"/>
      <c r="AC397" s="13"/>
      <c r="AD397" s="13"/>
      <c r="AE397" s="13" t="s">
        <v>136</v>
      </c>
      <c r="AF397" s="13" t="s">
        <v>137</v>
      </c>
      <c r="AG397" s="6"/>
      <c r="AH397" s="6"/>
      <c r="AI397" s="6"/>
    </row>
    <row r="398" spans="1:35" s="12" customFormat="1" ht="16.5" x14ac:dyDescent="0.3">
      <c r="A398" s="45"/>
      <c r="B398" s="45"/>
      <c r="C398" s="15"/>
      <c r="D398" s="1" t="s">
        <v>30</v>
      </c>
      <c r="E398" s="13" t="s">
        <v>31</v>
      </c>
      <c r="F398" s="13" t="s">
        <v>32</v>
      </c>
      <c r="G398" s="13" t="s">
        <v>33</v>
      </c>
      <c r="H398" s="13" t="s">
        <v>34</v>
      </c>
      <c r="I398" s="13" t="s">
        <v>33</v>
      </c>
      <c r="J398" s="13" t="s">
        <v>33</v>
      </c>
      <c r="K398" s="13" t="s">
        <v>33</v>
      </c>
      <c r="L398" s="13" t="s">
        <v>33</v>
      </c>
      <c r="M398" s="13" t="s">
        <v>35</v>
      </c>
      <c r="N398" s="13" t="s">
        <v>33</v>
      </c>
      <c r="O398" s="13" t="s">
        <v>35</v>
      </c>
      <c r="P398" s="13" t="s">
        <v>33</v>
      </c>
      <c r="Q398" s="13" t="s">
        <v>35</v>
      </c>
      <c r="R398" s="13" t="s">
        <v>35</v>
      </c>
      <c r="S398" s="13" t="s">
        <v>35</v>
      </c>
      <c r="T398" s="13" t="s">
        <v>35</v>
      </c>
      <c r="U398" s="13" t="s">
        <v>35</v>
      </c>
      <c r="V398" s="13" t="s">
        <v>35</v>
      </c>
      <c r="X398" s="13"/>
      <c r="Y398" s="13"/>
      <c r="Z398" s="13"/>
      <c r="AA398" s="6"/>
      <c r="AB398" s="6"/>
      <c r="AC398" s="13" t="s">
        <v>31</v>
      </c>
      <c r="AD398" s="13"/>
      <c r="AE398" s="13" t="s">
        <v>138</v>
      </c>
      <c r="AF398" s="13" t="s">
        <v>139</v>
      </c>
      <c r="AG398" s="6"/>
      <c r="AH398" s="6"/>
      <c r="AI398" s="6"/>
    </row>
    <row r="399" spans="1:35" s="12" customFormat="1" ht="16.5" x14ac:dyDescent="0.3">
      <c r="A399" s="45"/>
      <c r="B399" s="45"/>
      <c r="C399" s="15"/>
      <c r="D399" s="1"/>
      <c r="E399" s="21" t="s">
        <v>254</v>
      </c>
      <c r="F399" s="13"/>
      <c r="G399" s="13" t="s">
        <v>37</v>
      </c>
      <c r="H399" s="13" t="s">
        <v>37</v>
      </c>
      <c r="I399" s="13" t="s">
        <v>37</v>
      </c>
      <c r="J399" s="13" t="s">
        <v>37</v>
      </c>
      <c r="K399" s="13" t="s">
        <v>37</v>
      </c>
      <c r="L399" s="13" t="s">
        <v>37</v>
      </c>
      <c r="M399" s="13" t="s">
        <v>37</v>
      </c>
      <c r="N399" s="13" t="s">
        <v>37</v>
      </c>
      <c r="O399" s="13" t="s">
        <v>37</v>
      </c>
      <c r="P399" s="13" t="s">
        <v>37</v>
      </c>
      <c r="Q399" s="13" t="s">
        <v>37</v>
      </c>
      <c r="R399" s="13" t="s">
        <v>37</v>
      </c>
      <c r="S399" s="13" t="s">
        <v>37</v>
      </c>
      <c r="T399" s="13" t="s">
        <v>37</v>
      </c>
      <c r="U399" s="13" t="s">
        <v>37</v>
      </c>
      <c r="V399" s="13" t="s">
        <v>37</v>
      </c>
      <c r="X399" s="13"/>
      <c r="Y399" s="13"/>
      <c r="Z399" s="13"/>
      <c r="AA399" s="6"/>
      <c r="AB399" s="6"/>
      <c r="AC399" s="20" t="str">
        <f t="shared" ref="AC399:AC443" si="114">IF(ISBLANK(E399),"",E399)</f>
        <v>Allocated Rev Reqmt Excl Return</v>
      </c>
      <c r="AD399" s="13"/>
      <c r="AE399" s="13"/>
      <c r="AF399" s="13" t="s">
        <v>37</v>
      </c>
      <c r="AG399" s="6"/>
      <c r="AH399" s="6"/>
      <c r="AI399" s="6"/>
    </row>
    <row r="400" spans="1:35" ht="16.5" x14ac:dyDescent="0.3">
      <c r="A400" s="28"/>
      <c r="B400" s="28"/>
      <c r="C400" s="26"/>
      <c r="D400" s="1">
        <f>MAX(D397:D399)+NoOne</f>
        <v>1</v>
      </c>
      <c r="E400" s="6" t="s">
        <v>224</v>
      </c>
      <c r="F400" s="22">
        <f>SUM(G400:AF400)</f>
        <v>916403238.80691075</v>
      </c>
      <c r="G400" s="22">
        <f t="shared" ref="G400:U402" si="115">G366*G$317</f>
        <v>459807370.22383511</v>
      </c>
      <c r="H400" s="22">
        <f t="shared" si="115"/>
        <v>416510026.55139899</v>
      </c>
      <c r="I400" s="22">
        <f t="shared" si="115"/>
        <v>37946236.6186601</v>
      </c>
      <c r="J400" s="22">
        <f t="shared" si="115"/>
        <v>0</v>
      </c>
      <c r="K400" s="22">
        <f t="shared" si="115"/>
        <v>0</v>
      </c>
      <c r="L400" s="22">
        <f t="shared" si="115"/>
        <v>0</v>
      </c>
      <c r="M400" s="22">
        <f t="shared" si="115"/>
        <v>0</v>
      </c>
      <c r="N400" s="22">
        <f t="shared" si="115"/>
        <v>0</v>
      </c>
      <c r="O400" s="22">
        <f t="shared" si="115"/>
        <v>0</v>
      </c>
      <c r="P400" s="22">
        <f t="shared" si="115"/>
        <v>0</v>
      </c>
      <c r="Q400" s="22">
        <f t="shared" si="115"/>
        <v>0</v>
      </c>
      <c r="R400" s="22">
        <f t="shared" si="115"/>
        <v>0</v>
      </c>
      <c r="S400" s="22">
        <f t="shared" si="115"/>
        <v>0</v>
      </c>
      <c r="T400" s="22">
        <f t="shared" si="115"/>
        <v>0</v>
      </c>
      <c r="U400" s="22">
        <f t="shared" si="115"/>
        <v>0</v>
      </c>
      <c r="V400" s="22">
        <f>R545</f>
        <v>1324923.3285962211</v>
      </c>
      <c r="X400" s="6"/>
      <c r="Y400" s="6"/>
      <c r="Z400" s="6"/>
      <c r="AA400" s="6"/>
      <c r="AB400" s="6"/>
      <c r="AC400" s="6" t="str">
        <f t="shared" si="114"/>
        <v>Newfoundland Power</v>
      </c>
      <c r="AD400" s="6"/>
      <c r="AE400" s="22">
        <f t="shared" ref="AE400:AF402" si="116">AE366*AE$317</f>
        <v>0</v>
      </c>
      <c r="AF400" s="22">
        <f t="shared" si="116"/>
        <v>814682.08442035457</v>
      </c>
      <c r="AG400" s="6"/>
      <c r="AH400" s="6"/>
      <c r="AI400" s="6"/>
    </row>
    <row r="401" spans="1:35" ht="16.5" x14ac:dyDescent="0.3">
      <c r="A401" s="28"/>
      <c r="B401" s="28"/>
      <c r="C401" s="26"/>
      <c r="D401" s="1">
        <f>MAX(D398:D400)+NoOne</f>
        <v>2</v>
      </c>
      <c r="E401" s="17" t="s">
        <v>227</v>
      </c>
      <c r="F401" s="22">
        <f>SUM(G401:AF401)</f>
        <v>70681418.835309312</v>
      </c>
      <c r="G401" s="22">
        <f t="shared" si="115"/>
        <v>25810808.735538952</v>
      </c>
      <c r="H401" s="22">
        <f t="shared" si="115"/>
        <v>42475988.041939929</v>
      </c>
      <c r="I401" s="22">
        <f t="shared" si="115"/>
        <v>2074210.3552389927</v>
      </c>
      <c r="J401" s="22">
        <f t="shared" si="115"/>
        <v>0</v>
      </c>
      <c r="K401" s="22">
        <f t="shared" si="115"/>
        <v>0</v>
      </c>
      <c r="L401" s="22">
        <f t="shared" si="115"/>
        <v>0</v>
      </c>
      <c r="M401" s="22">
        <f t="shared" si="115"/>
        <v>0</v>
      </c>
      <c r="N401" s="22">
        <f t="shared" si="115"/>
        <v>0</v>
      </c>
      <c r="O401" s="22">
        <f t="shared" si="115"/>
        <v>0</v>
      </c>
      <c r="P401" s="22">
        <f t="shared" si="115"/>
        <v>0</v>
      </c>
      <c r="Q401" s="22">
        <f t="shared" si="115"/>
        <v>0</v>
      </c>
      <c r="R401" s="22">
        <f t="shared" si="115"/>
        <v>0</v>
      </c>
      <c r="S401" s="22">
        <f t="shared" si="115"/>
        <v>0</v>
      </c>
      <c r="T401" s="22">
        <f t="shared" si="115"/>
        <v>0</v>
      </c>
      <c r="U401" s="22">
        <f t="shared" si="115"/>
        <v>0</v>
      </c>
      <c r="V401" s="22">
        <f>R553</f>
        <v>246571.30094734966</v>
      </c>
      <c r="X401" s="6"/>
      <c r="Y401" s="6"/>
      <c r="Z401" s="6"/>
      <c r="AA401" s="6"/>
      <c r="AB401" s="6"/>
      <c r="AC401" s="17" t="str">
        <f t="shared" si="114"/>
        <v>Industrial - Firm</v>
      </c>
      <c r="AD401" s="6"/>
      <c r="AE401" s="22">
        <f t="shared" si="116"/>
        <v>0</v>
      </c>
      <c r="AF401" s="22">
        <f t="shared" si="116"/>
        <v>73840.40164409412</v>
      </c>
      <c r="AG401" s="6"/>
      <c r="AH401" s="6"/>
      <c r="AI401" s="6"/>
    </row>
    <row r="402" spans="1:35" ht="16.5" x14ac:dyDescent="0.3">
      <c r="A402" s="28"/>
      <c r="B402" s="28"/>
      <c r="C402" s="26"/>
      <c r="D402" s="1">
        <f>MAX(D399:D401)+NoOne</f>
        <v>3</v>
      </c>
      <c r="E402" s="17" t="s">
        <v>229</v>
      </c>
      <c r="F402" s="22">
        <f>SUM(G402:AF402)</f>
        <v>0</v>
      </c>
      <c r="G402" s="22">
        <f t="shared" si="115"/>
        <v>0</v>
      </c>
      <c r="H402" s="22">
        <f t="shared" si="115"/>
        <v>0</v>
      </c>
      <c r="I402" s="22">
        <f t="shared" si="115"/>
        <v>0</v>
      </c>
      <c r="J402" s="22">
        <f t="shared" si="115"/>
        <v>0</v>
      </c>
      <c r="K402" s="22">
        <f t="shared" si="115"/>
        <v>0</v>
      </c>
      <c r="L402" s="22">
        <f t="shared" si="115"/>
        <v>0</v>
      </c>
      <c r="M402" s="22">
        <f t="shared" si="115"/>
        <v>0</v>
      </c>
      <c r="N402" s="22">
        <f t="shared" si="115"/>
        <v>0</v>
      </c>
      <c r="O402" s="22">
        <f t="shared" si="115"/>
        <v>0</v>
      </c>
      <c r="P402" s="22">
        <f t="shared" si="115"/>
        <v>0</v>
      </c>
      <c r="Q402" s="22">
        <f t="shared" si="115"/>
        <v>0</v>
      </c>
      <c r="R402" s="22">
        <f t="shared" si="115"/>
        <v>0</v>
      </c>
      <c r="S402" s="22">
        <f t="shared" si="115"/>
        <v>0</v>
      </c>
      <c r="T402" s="22">
        <f t="shared" si="115"/>
        <v>0</v>
      </c>
      <c r="U402" s="22">
        <f t="shared" si="115"/>
        <v>0</v>
      </c>
      <c r="V402" s="22">
        <f>IF(V$363&lt;&gt;0,(V$317/V$363)*V$353,0)</f>
        <v>0</v>
      </c>
      <c r="X402" s="6"/>
      <c r="Y402" s="6"/>
      <c r="Z402" s="6"/>
      <c r="AA402" s="6"/>
      <c r="AB402" s="6"/>
      <c r="AC402" s="17" t="str">
        <f t="shared" si="114"/>
        <v>Industrial - Non-Firm</v>
      </c>
      <c r="AD402" s="6"/>
      <c r="AE402" s="22">
        <f t="shared" si="116"/>
        <v>0</v>
      </c>
      <c r="AF402" s="22">
        <f t="shared" si="116"/>
        <v>0</v>
      </c>
      <c r="AG402" s="6"/>
      <c r="AH402" s="6"/>
      <c r="AI402" s="6"/>
    </row>
    <row r="403" spans="1:35" ht="16.5" x14ac:dyDescent="0.3">
      <c r="A403" s="28"/>
      <c r="B403" s="28"/>
      <c r="C403" s="26"/>
      <c r="D403" s="1"/>
      <c r="E403" s="20" t="s">
        <v>230</v>
      </c>
      <c r="F403" s="22"/>
      <c r="G403" s="22" t="s">
        <v>39</v>
      </c>
      <c r="H403" s="22" t="s">
        <v>39</v>
      </c>
      <c r="I403" s="22" t="s">
        <v>39</v>
      </c>
      <c r="J403" s="22" t="s">
        <v>39</v>
      </c>
      <c r="K403" s="22" t="s">
        <v>39</v>
      </c>
      <c r="L403" s="22" t="s">
        <v>39</v>
      </c>
      <c r="M403" s="22" t="s">
        <v>39</v>
      </c>
      <c r="N403" s="22" t="s">
        <v>39</v>
      </c>
      <c r="O403" s="22" t="s">
        <v>39</v>
      </c>
      <c r="P403" s="22" t="s">
        <v>39</v>
      </c>
      <c r="Q403" s="22" t="s">
        <v>39</v>
      </c>
      <c r="R403" s="22" t="s">
        <v>39</v>
      </c>
      <c r="S403" s="22" t="s">
        <v>39</v>
      </c>
      <c r="T403" s="22" t="s">
        <v>39</v>
      </c>
      <c r="U403" s="22" t="s">
        <v>39</v>
      </c>
      <c r="V403" s="22"/>
      <c r="X403" s="6"/>
      <c r="Y403" s="6"/>
      <c r="Z403" s="6"/>
      <c r="AA403" s="6"/>
      <c r="AB403" s="6"/>
      <c r="AC403" s="20" t="str">
        <f t="shared" si="114"/>
        <v>Rural</v>
      </c>
      <c r="AD403" s="6"/>
      <c r="AE403" s="22" t="s">
        <v>39</v>
      </c>
      <c r="AF403" s="22" t="s">
        <v>39</v>
      </c>
      <c r="AG403" s="6"/>
      <c r="AH403" s="6"/>
      <c r="AI403" s="6"/>
    </row>
    <row r="404" spans="1:35" ht="16.5" x14ac:dyDescent="0.3">
      <c r="A404" s="28"/>
      <c r="B404" s="28"/>
      <c r="C404" s="26"/>
      <c r="D404" s="1">
        <f t="shared" ref="D404:D413" si="117">MAX(D401:D403)+NoOne</f>
        <v>4</v>
      </c>
      <c r="E404" s="17" t="s">
        <v>232</v>
      </c>
      <c r="F404" s="22">
        <f t="shared" ref="F404:F411" si="118">SUM(G404:AF404)</f>
        <v>30829070.037742171</v>
      </c>
      <c r="G404" s="22">
        <f t="shared" ref="G404:U411" si="119">G370*G$317</f>
        <v>10408985.257499585</v>
      </c>
      <c r="H404" s="22">
        <f t="shared" si="119"/>
        <v>8203457.6182411313</v>
      </c>
      <c r="I404" s="22">
        <f t="shared" si="119"/>
        <v>836487.73774793651</v>
      </c>
      <c r="J404" s="22">
        <f t="shared" si="119"/>
        <v>2182158.9990687631</v>
      </c>
      <c r="K404" s="22">
        <f t="shared" si="119"/>
        <v>1414326.3493175458</v>
      </c>
      <c r="L404" s="22">
        <f t="shared" si="119"/>
        <v>2457944.7848170386</v>
      </c>
      <c r="M404" s="22">
        <f t="shared" si="119"/>
        <v>985977.55437785806</v>
      </c>
      <c r="N404" s="22">
        <f t="shared" si="119"/>
        <v>238168.19944180458</v>
      </c>
      <c r="O404" s="22">
        <f t="shared" si="119"/>
        <v>595766.73180323141</v>
      </c>
      <c r="P404" s="22">
        <f t="shared" si="119"/>
        <v>364803.00789302489</v>
      </c>
      <c r="Q404" s="22">
        <f t="shared" si="119"/>
        <v>587292.12555049499</v>
      </c>
      <c r="R404" s="22">
        <f t="shared" si="119"/>
        <v>119519.34014950373</v>
      </c>
      <c r="S404" s="22">
        <f t="shared" si="119"/>
        <v>390843.99500633468</v>
      </c>
      <c r="T404" s="22">
        <f t="shared" si="119"/>
        <v>0</v>
      </c>
      <c r="U404" s="22">
        <f t="shared" si="119"/>
        <v>1636172.86453466</v>
      </c>
      <c r="V404" s="22">
        <f>IF(V$363&lt;&gt;0,(V$317/V$363)*V$353,0)</f>
        <v>0</v>
      </c>
      <c r="X404" s="6"/>
      <c r="Y404" s="6"/>
      <c r="Z404" s="6"/>
      <c r="AA404" s="6"/>
      <c r="AB404" s="6"/>
      <c r="AC404" s="17" t="str">
        <f t="shared" si="114"/>
        <v>1.1 Domestic</v>
      </c>
      <c r="AD404" s="6"/>
      <c r="AE404" s="22">
        <f t="shared" ref="AE404:AF411" si="120">AE370*AE$317</f>
        <v>384122.60818268097</v>
      </c>
      <c r="AF404" s="22">
        <f t="shared" si="120"/>
        <v>23042.864110577801</v>
      </c>
      <c r="AG404" s="6"/>
      <c r="AH404" s="6"/>
      <c r="AI404" s="6"/>
    </row>
    <row r="405" spans="1:35" ht="16.5" x14ac:dyDescent="0.3">
      <c r="A405" s="28"/>
      <c r="B405" s="28"/>
      <c r="C405" s="26"/>
      <c r="D405" s="1">
        <f t="shared" si="117"/>
        <v>5</v>
      </c>
      <c r="E405" s="17" t="s">
        <v>234</v>
      </c>
      <c r="F405" s="22">
        <f t="shared" si="118"/>
        <v>35627036.129598178</v>
      </c>
      <c r="G405" s="22">
        <f t="shared" si="119"/>
        <v>12081743.959430734</v>
      </c>
      <c r="H405" s="22">
        <f t="shared" si="119"/>
        <v>11059927.185163002</v>
      </c>
      <c r="I405" s="22">
        <f t="shared" si="119"/>
        <v>970914.11147811532</v>
      </c>
      <c r="J405" s="22">
        <f t="shared" si="119"/>
        <v>2532839.2396868085</v>
      </c>
      <c r="K405" s="22">
        <f t="shared" si="119"/>
        <v>1641613.3181877227</v>
      </c>
      <c r="L405" s="22">
        <f t="shared" si="119"/>
        <v>2852944.7224628963</v>
      </c>
      <c r="M405" s="22">
        <f t="shared" si="119"/>
        <v>747476.16840129299</v>
      </c>
      <c r="N405" s="22">
        <f t="shared" si="119"/>
        <v>276442.62468921376</v>
      </c>
      <c r="O405" s="22">
        <f t="shared" si="119"/>
        <v>451654.7379521571</v>
      </c>
      <c r="P405" s="22">
        <f t="shared" si="119"/>
        <v>423428.06988012412</v>
      </c>
      <c r="Q405" s="22">
        <f t="shared" si="119"/>
        <v>445230.08235794114</v>
      </c>
      <c r="R405" s="22">
        <f t="shared" si="119"/>
        <v>90608.4099258965</v>
      </c>
      <c r="S405" s="22">
        <f t="shared" si="119"/>
        <v>296301.44269798388</v>
      </c>
      <c r="T405" s="22">
        <f t="shared" si="119"/>
        <v>0</v>
      </c>
      <c r="U405" s="22">
        <f t="shared" si="119"/>
        <v>1240393.5750811654</v>
      </c>
      <c r="V405" s="22">
        <f>IF(V$363&lt;&gt;0,(V$317/V$363)*V$354,0)</f>
        <v>0</v>
      </c>
      <c r="X405" s="6"/>
      <c r="Y405" s="6"/>
      <c r="Z405" s="6"/>
      <c r="AA405" s="6"/>
      <c r="AB405" s="6"/>
      <c r="AC405" s="17" t="str">
        <f t="shared" si="114"/>
        <v xml:space="preserve">1.12 Domestic All Electric </v>
      </c>
      <c r="AD405" s="6"/>
      <c r="AE405" s="22">
        <f t="shared" si="120"/>
        <v>486343.55667470931</v>
      </c>
      <c r="AF405" s="22">
        <f t="shared" si="120"/>
        <v>29174.925528415435</v>
      </c>
      <c r="AG405" s="6"/>
      <c r="AH405" s="6"/>
      <c r="AI405" s="6"/>
    </row>
    <row r="406" spans="1:35" ht="16.5" x14ac:dyDescent="0.3">
      <c r="A406" s="28"/>
      <c r="B406" s="28"/>
      <c r="C406" s="26"/>
      <c r="D406" s="1">
        <f t="shared" si="117"/>
        <v>6</v>
      </c>
      <c r="E406" s="17" t="s">
        <v>236</v>
      </c>
      <c r="F406" s="22">
        <f t="shared" si="118"/>
        <v>98967.675756252691</v>
      </c>
      <c r="G406" s="22">
        <f t="shared" si="119"/>
        <v>41868.811371339885</v>
      </c>
      <c r="H406" s="22">
        <f t="shared" si="119"/>
        <v>26009.035471279032</v>
      </c>
      <c r="I406" s="22">
        <f t="shared" si="119"/>
        <v>3364.6648967029314</v>
      </c>
      <c r="J406" s="22">
        <f t="shared" si="119"/>
        <v>8777.4553670786136</v>
      </c>
      <c r="K406" s="22">
        <f t="shared" si="119"/>
        <v>5688.946777441859</v>
      </c>
      <c r="L406" s="22">
        <f t="shared" si="119"/>
        <v>9886.7684035316051</v>
      </c>
      <c r="M406" s="22">
        <f t="shared" si="119"/>
        <v>85.782690722709447</v>
      </c>
      <c r="N406" s="22">
        <f t="shared" si="119"/>
        <v>958.00110869558227</v>
      </c>
      <c r="O406" s="22">
        <f t="shared" si="119"/>
        <v>51.833302969461265</v>
      </c>
      <c r="P406" s="22">
        <f t="shared" si="119"/>
        <v>1467.3734227998625</v>
      </c>
      <c r="Q406" s="22">
        <f t="shared" si="119"/>
        <v>51.095989504314552</v>
      </c>
      <c r="R406" s="22">
        <f t="shared" si="119"/>
        <v>10.398503034784127</v>
      </c>
      <c r="S406" s="22">
        <f t="shared" si="119"/>
        <v>34.004475452397308</v>
      </c>
      <c r="T406" s="22">
        <f t="shared" si="119"/>
        <v>0</v>
      </c>
      <c r="U406" s="22">
        <f t="shared" si="119"/>
        <v>142.35142593669804</v>
      </c>
      <c r="V406" s="22">
        <f>IF(V$363&lt;&gt;0,(V$317/V$363)*V$355,0)</f>
        <v>0</v>
      </c>
      <c r="X406" s="6"/>
      <c r="Y406" s="6"/>
      <c r="Z406" s="6"/>
      <c r="AA406" s="6"/>
      <c r="AB406" s="6"/>
      <c r="AC406" s="17" t="str">
        <f t="shared" si="114"/>
        <v>1.3 Special</v>
      </c>
      <c r="AD406" s="6"/>
      <c r="AE406" s="22">
        <f t="shared" si="120"/>
        <v>538.82910515338892</v>
      </c>
      <c r="AF406" s="22">
        <f t="shared" si="120"/>
        <v>32.323444609563047</v>
      </c>
      <c r="AG406" s="6"/>
      <c r="AH406" s="6"/>
      <c r="AI406" s="6"/>
    </row>
    <row r="407" spans="1:35" ht="16.5" x14ac:dyDescent="0.3">
      <c r="A407" s="28"/>
      <c r="B407" s="28"/>
      <c r="C407" s="26"/>
      <c r="D407" s="1">
        <f t="shared" si="117"/>
        <v>7</v>
      </c>
      <c r="E407" s="17" t="s">
        <v>238</v>
      </c>
      <c r="F407" s="22">
        <f t="shared" si="118"/>
        <v>15665063.123411058</v>
      </c>
      <c r="G407" s="22">
        <f t="shared" si="119"/>
        <v>4791785.7738037286</v>
      </c>
      <c r="H407" s="22">
        <f t="shared" si="119"/>
        <v>5491084.3341508312</v>
      </c>
      <c r="I407" s="22">
        <f t="shared" si="119"/>
        <v>385077.88632075366</v>
      </c>
      <c r="J407" s="22">
        <f t="shared" si="119"/>
        <v>1004558.8680588924</v>
      </c>
      <c r="K407" s="22">
        <f t="shared" si="119"/>
        <v>651086.41356684593</v>
      </c>
      <c r="L407" s="22">
        <f t="shared" si="119"/>
        <v>1131517.103859422</v>
      </c>
      <c r="M407" s="22">
        <f t="shared" si="119"/>
        <v>260908.05383312076</v>
      </c>
      <c r="N407" s="22">
        <f t="shared" si="119"/>
        <v>109640.94593518869</v>
      </c>
      <c r="O407" s="22">
        <f t="shared" si="119"/>
        <v>157650.99098161643</v>
      </c>
      <c r="P407" s="22">
        <f t="shared" si="119"/>
        <v>167937.39449319951</v>
      </c>
      <c r="Q407" s="22">
        <f t="shared" si="119"/>
        <v>155408.4520773727</v>
      </c>
      <c r="R407" s="22">
        <f t="shared" si="119"/>
        <v>150864.97329100268</v>
      </c>
      <c r="S407" s="22">
        <f t="shared" si="119"/>
        <v>493348.34675142996</v>
      </c>
      <c r="T407" s="22">
        <f t="shared" si="119"/>
        <v>0</v>
      </c>
      <c r="U407" s="22">
        <f t="shared" si="119"/>
        <v>432961.86198646703</v>
      </c>
      <c r="V407" s="22">
        <f>IF(V$363&lt;&gt;0,(V$317/V$363)*V$356,0)</f>
        <v>0</v>
      </c>
      <c r="X407" s="6"/>
      <c r="Y407" s="6"/>
      <c r="Z407" s="6"/>
      <c r="AA407" s="6"/>
      <c r="AB407" s="6"/>
      <c r="AC407" s="17" t="str">
        <f t="shared" si="114"/>
        <v>2.1 GS 0-10 kW</v>
      </c>
      <c r="AD407" s="6"/>
      <c r="AE407" s="22">
        <f t="shared" si="120"/>
        <v>265315.8747323213</v>
      </c>
      <c r="AF407" s="22">
        <f t="shared" si="120"/>
        <v>15915.849568865882</v>
      </c>
      <c r="AG407" s="6"/>
      <c r="AH407" s="6"/>
      <c r="AI407" s="6"/>
    </row>
    <row r="408" spans="1:35" ht="16.5" x14ac:dyDescent="0.3">
      <c r="A408" s="28"/>
      <c r="B408" s="28"/>
      <c r="C408" s="26"/>
      <c r="D408" s="1">
        <f t="shared" si="117"/>
        <v>8</v>
      </c>
      <c r="E408" s="17" t="s">
        <v>240</v>
      </c>
      <c r="F408" s="22">
        <f t="shared" si="118"/>
        <v>0</v>
      </c>
      <c r="G408" s="22">
        <f t="shared" si="119"/>
        <v>0</v>
      </c>
      <c r="H408" s="22">
        <f t="shared" si="119"/>
        <v>0</v>
      </c>
      <c r="I408" s="22">
        <f t="shared" si="119"/>
        <v>0</v>
      </c>
      <c r="J408" s="22">
        <f t="shared" si="119"/>
        <v>0</v>
      </c>
      <c r="K408" s="22">
        <f t="shared" si="119"/>
        <v>0</v>
      </c>
      <c r="L408" s="22">
        <f t="shared" si="119"/>
        <v>0</v>
      </c>
      <c r="M408" s="22">
        <f t="shared" si="119"/>
        <v>0</v>
      </c>
      <c r="N408" s="22">
        <f t="shared" si="119"/>
        <v>0</v>
      </c>
      <c r="O408" s="22">
        <f t="shared" si="119"/>
        <v>0</v>
      </c>
      <c r="P408" s="22">
        <f t="shared" si="119"/>
        <v>0</v>
      </c>
      <c r="Q408" s="22">
        <f t="shared" si="119"/>
        <v>0</v>
      </c>
      <c r="R408" s="22">
        <f t="shared" si="119"/>
        <v>0</v>
      </c>
      <c r="S408" s="22">
        <f t="shared" si="119"/>
        <v>0</v>
      </c>
      <c r="T408" s="22">
        <f t="shared" si="119"/>
        <v>0</v>
      </c>
      <c r="U408" s="22">
        <f t="shared" si="119"/>
        <v>0</v>
      </c>
      <c r="V408" s="22">
        <f>IF(V$363&lt;&gt;0,(V$317/V$363)*V$357,0)</f>
        <v>0</v>
      </c>
      <c r="X408" s="6"/>
      <c r="Y408" s="6"/>
      <c r="Z408" s="6"/>
      <c r="AA408" s="6"/>
      <c r="AB408" s="6"/>
      <c r="AC408" s="17" t="str">
        <f t="shared" si="114"/>
        <v>2.2 GS 10-100 kW</v>
      </c>
      <c r="AD408" s="6"/>
      <c r="AE408" s="22">
        <f t="shared" si="120"/>
        <v>0</v>
      </c>
      <c r="AF408" s="22">
        <f t="shared" si="120"/>
        <v>0</v>
      </c>
      <c r="AG408" s="6"/>
      <c r="AH408" s="6"/>
      <c r="AI408" s="6"/>
    </row>
    <row r="409" spans="1:35" ht="16.5" x14ac:dyDescent="0.3">
      <c r="A409" s="28"/>
      <c r="B409" s="28"/>
      <c r="C409" s="26"/>
      <c r="D409" s="1">
        <f t="shared" si="117"/>
        <v>9</v>
      </c>
      <c r="E409" s="17" t="s">
        <v>242</v>
      </c>
      <c r="F409" s="22">
        <f t="shared" si="118"/>
        <v>9766539.6687121522</v>
      </c>
      <c r="G409" s="22">
        <f t="shared" si="119"/>
        <v>3168743.6475903033</v>
      </c>
      <c r="H409" s="22">
        <f t="shared" si="119"/>
        <v>4088493.0155033628</v>
      </c>
      <c r="I409" s="22">
        <f t="shared" si="119"/>
        <v>254646.8401774526</v>
      </c>
      <c r="J409" s="22">
        <f t="shared" si="119"/>
        <v>664301.30269895168</v>
      </c>
      <c r="K409" s="22">
        <f t="shared" si="119"/>
        <v>430554.71058435546</v>
      </c>
      <c r="L409" s="22">
        <f t="shared" si="119"/>
        <v>748257.08081439417</v>
      </c>
      <c r="M409" s="22">
        <f t="shared" si="119"/>
        <v>7162.8546753462388</v>
      </c>
      <c r="N409" s="22">
        <f t="shared" si="119"/>
        <v>67231.213921916991</v>
      </c>
      <c r="O409" s="22">
        <f t="shared" si="119"/>
        <v>4328.0807979500159</v>
      </c>
      <c r="P409" s="22">
        <f t="shared" si="119"/>
        <v>102978.2696451362</v>
      </c>
      <c r="Q409" s="22">
        <f t="shared" si="119"/>
        <v>4266.5151236102647</v>
      </c>
      <c r="R409" s="22">
        <f t="shared" si="119"/>
        <v>7310.381962140048</v>
      </c>
      <c r="S409" s="22">
        <f t="shared" si="119"/>
        <v>23905.912528725821</v>
      </c>
      <c r="T409" s="22">
        <f t="shared" si="119"/>
        <v>0</v>
      </c>
      <c r="U409" s="22">
        <f t="shared" si="119"/>
        <v>11886.344065714286</v>
      </c>
      <c r="V409" s="22">
        <f>IF(V$363&lt;&gt;0,(V$317/V$363)*V$358,0)</f>
        <v>0</v>
      </c>
      <c r="X409" s="6"/>
      <c r="Y409" s="6"/>
      <c r="Z409" s="6"/>
      <c r="AA409" s="6"/>
      <c r="AB409" s="6"/>
      <c r="AC409" s="17" t="str">
        <f t="shared" si="114"/>
        <v>2.3 GS 110-1,000 kVa</v>
      </c>
      <c r="AD409" s="6"/>
      <c r="AE409" s="22">
        <f t="shared" si="120"/>
        <v>172146.70934750428</v>
      </c>
      <c r="AF409" s="22">
        <f t="shared" si="120"/>
        <v>10326.78927529089</v>
      </c>
      <c r="AG409" s="6"/>
      <c r="AH409" s="6"/>
      <c r="AI409" s="6"/>
    </row>
    <row r="410" spans="1:35" ht="16.5" x14ac:dyDescent="0.3">
      <c r="A410" s="28"/>
      <c r="B410" s="28"/>
      <c r="C410" s="26"/>
      <c r="D410" s="1">
        <f t="shared" si="117"/>
        <v>10</v>
      </c>
      <c r="E410" s="17" t="s">
        <v>244</v>
      </c>
      <c r="F410" s="22">
        <f t="shared" si="118"/>
        <v>6167251.0546895731</v>
      </c>
      <c r="G410" s="22">
        <f t="shared" si="119"/>
        <v>1849783.3952157111</v>
      </c>
      <c r="H410" s="22">
        <f t="shared" si="119"/>
        <v>2941987.1029850906</v>
      </c>
      <c r="I410" s="22">
        <f t="shared" si="119"/>
        <v>148652.44683412876</v>
      </c>
      <c r="J410" s="22">
        <f t="shared" si="119"/>
        <v>387792.02605649334</v>
      </c>
      <c r="K410" s="22">
        <f t="shared" si="119"/>
        <v>251340.29222480679</v>
      </c>
      <c r="L410" s="22">
        <f t="shared" si="119"/>
        <v>436801.98759391822</v>
      </c>
      <c r="M410" s="22">
        <f t="shared" si="119"/>
        <v>686.26152578167557</v>
      </c>
      <c r="N410" s="22">
        <f t="shared" si="119"/>
        <v>17468.800013695953</v>
      </c>
      <c r="O410" s="22">
        <f t="shared" si="119"/>
        <v>414.66642375569012</v>
      </c>
      <c r="P410" s="22">
        <f t="shared" si="119"/>
        <v>26757.017957114524</v>
      </c>
      <c r="Q410" s="22">
        <f t="shared" si="119"/>
        <v>408.76791603451642</v>
      </c>
      <c r="R410" s="22">
        <f t="shared" si="119"/>
        <v>700.39587661222026</v>
      </c>
      <c r="S410" s="22">
        <f t="shared" si="119"/>
        <v>2290.3868290994801</v>
      </c>
      <c r="T410" s="22">
        <f t="shared" si="119"/>
        <v>0</v>
      </c>
      <c r="U410" s="22">
        <f t="shared" si="119"/>
        <v>1138.8114074935843</v>
      </c>
      <c r="V410" s="22">
        <f>IF(V$363&lt;&gt;0,(V$317/V$363)*V$359,0)</f>
        <v>0</v>
      </c>
      <c r="X410" s="6"/>
      <c r="Y410" s="6"/>
      <c r="Z410" s="6"/>
      <c r="AA410" s="6"/>
      <c r="AB410" s="6"/>
      <c r="AC410" s="17" t="str">
        <f t="shared" si="114"/>
        <v>2.4 GS Over 1,000 kVa</v>
      </c>
      <c r="AD410" s="6"/>
      <c r="AE410" s="22">
        <f t="shared" si="120"/>
        <v>95311.141990695411</v>
      </c>
      <c r="AF410" s="22">
        <f t="shared" si="120"/>
        <v>5717.5538391405789</v>
      </c>
      <c r="AG410" s="6"/>
      <c r="AH410" s="6"/>
      <c r="AI410" s="6"/>
    </row>
    <row r="411" spans="1:35" ht="16.5" x14ac:dyDescent="0.3">
      <c r="A411" s="28"/>
      <c r="B411" s="28"/>
      <c r="C411" s="26"/>
      <c r="D411" s="1">
        <f t="shared" si="117"/>
        <v>11</v>
      </c>
      <c r="E411" s="17" t="s">
        <v>246</v>
      </c>
      <c r="F411" s="34">
        <f t="shared" si="118"/>
        <v>1304005.2948003113</v>
      </c>
      <c r="G411" s="22">
        <f t="shared" si="119"/>
        <v>198255.60123521966</v>
      </c>
      <c r="H411" s="22">
        <f t="shared" si="119"/>
        <v>156568.38266053106</v>
      </c>
      <c r="I411" s="22">
        <f t="shared" si="119"/>
        <v>15932.23309194532</v>
      </c>
      <c r="J411" s="22">
        <f t="shared" si="119"/>
        <v>41562.672407429905</v>
      </c>
      <c r="K411" s="22">
        <f t="shared" si="119"/>
        <v>26938.084144632525</v>
      </c>
      <c r="L411" s="22">
        <f t="shared" si="119"/>
        <v>46815.449254842395</v>
      </c>
      <c r="M411" s="22">
        <f t="shared" si="119"/>
        <v>90629.412748542527</v>
      </c>
      <c r="N411" s="22">
        <f t="shared" si="119"/>
        <v>4536.290369075542</v>
      </c>
      <c r="O411" s="22">
        <f t="shared" si="119"/>
        <v>54761.884587235822</v>
      </c>
      <c r="P411" s="22">
        <f t="shared" si="119"/>
        <v>6948.2507538512673</v>
      </c>
      <c r="Q411" s="22">
        <f t="shared" si="119"/>
        <v>53982.912911308318</v>
      </c>
      <c r="R411" s="22">
        <f t="shared" si="119"/>
        <v>0</v>
      </c>
      <c r="S411" s="22">
        <f t="shared" si="119"/>
        <v>0</v>
      </c>
      <c r="T411" s="22">
        <f t="shared" si="119"/>
        <v>427156.14576489996</v>
      </c>
      <c r="U411" s="22">
        <f t="shared" si="119"/>
        <v>150394.28150212145</v>
      </c>
      <c r="V411" s="34">
        <f>IF(V$363&lt;&gt;0,(V$317/V$363)*V$360,0)</f>
        <v>0</v>
      </c>
      <c r="X411" s="6"/>
      <c r="Y411" s="6"/>
      <c r="Z411" s="6"/>
      <c r="AA411" s="6"/>
      <c r="AB411" s="6"/>
      <c r="AC411" s="17" t="str">
        <f t="shared" si="114"/>
        <v>4.1 Street and Area Lighting</v>
      </c>
      <c r="AD411" s="6"/>
      <c r="AE411" s="22">
        <f t="shared" si="120"/>
        <v>27852.848219392701</v>
      </c>
      <c r="AF411" s="22">
        <f t="shared" si="120"/>
        <v>1670.8451492831248</v>
      </c>
      <c r="AG411" s="6"/>
      <c r="AH411" s="6"/>
      <c r="AI411" s="6"/>
    </row>
    <row r="412" spans="1:35" ht="16.5" x14ac:dyDescent="0.3">
      <c r="A412" s="28">
        <f>SUM(G412:AF412)-F412</f>
        <v>0</v>
      </c>
      <c r="B412" s="28"/>
      <c r="C412" s="29"/>
      <c r="D412" s="1">
        <f t="shared" si="117"/>
        <v>12</v>
      </c>
      <c r="E412" s="20" t="s">
        <v>247</v>
      </c>
      <c r="F412" s="30">
        <f>SUM(F404:F411)</f>
        <v>99457932.984709695</v>
      </c>
      <c r="G412" s="30">
        <f>SUM(G404:G411)</f>
        <v>32541166.446146622</v>
      </c>
      <c r="H412" s="30">
        <f>SUM(H404:H411)</f>
        <v>31967526.674175229</v>
      </c>
      <c r="I412" s="30">
        <f>SUM(I404:I411)</f>
        <v>2615075.9205470351</v>
      </c>
      <c r="J412" s="30">
        <f t="shared" ref="J412:V412" si="121">SUM(J404:J411)</f>
        <v>6821990.5633444181</v>
      </c>
      <c r="K412" s="30">
        <f t="shared" si="121"/>
        <v>4421548.1148033515</v>
      </c>
      <c r="L412" s="30">
        <f t="shared" si="121"/>
        <v>7684167.8972060429</v>
      </c>
      <c r="M412" s="30">
        <f t="shared" si="121"/>
        <v>2092926.088252665</v>
      </c>
      <c r="N412" s="30">
        <f t="shared" si="121"/>
        <v>714446.07547959115</v>
      </c>
      <c r="O412" s="30">
        <f t="shared" si="121"/>
        <v>1264628.9258489159</v>
      </c>
      <c r="P412" s="30">
        <f t="shared" si="121"/>
        <v>1094319.3840452505</v>
      </c>
      <c r="Q412" s="30">
        <f t="shared" si="121"/>
        <v>1246639.9519262661</v>
      </c>
      <c r="R412" s="30">
        <f t="shared" si="121"/>
        <v>369013.89970818994</v>
      </c>
      <c r="S412" s="30">
        <f t="shared" si="121"/>
        <v>1206724.0882890259</v>
      </c>
      <c r="T412" s="30">
        <f t="shared" si="121"/>
        <v>427156.14576489996</v>
      </c>
      <c r="U412" s="30">
        <f t="shared" si="121"/>
        <v>3473090.0900035584</v>
      </c>
      <c r="V412" s="30">
        <f t="shared" si="121"/>
        <v>0</v>
      </c>
      <c r="X412" s="6"/>
      <c r="Y412" s="6"/>
      <c r="Z412" s="6"/>
      <c r="AA412" s="6"/>
      <c r="AB412" s="6"/>
      <c r="AC412" s="20" t="str">
        <f t="shared" si="114"/>
        <v xml:space="preserve">    Subtotal Rural</v>
      </c>
      <c r="AD412" s="6"/>
      <c r="AE412" s="30">
        <f>SUM(AE404:AE411)</f>
        <v>1431631.5682524573</v>
      </c>
      <c r="AF412" s="30">
        <f>SUM(AF404:AF411)</f>
        <v>85881.15091618328</v>
      </c>
      <c r="AG412" s="6"/>
      <c r="AH412" s="6"/>
      <c r="AI412" s="6"/>
    </row>
    <row r="413" spans="1:35" ht="17.25" thickBot="1" x14ac:dyDescent="0.35">
      <c r="A413" s="28">
        <f>SUM(G413:AF413)-F413</f>
        <v>0</v>
      </c>
      <c r="B413" s="28"/>
      <c r="C413" s="29"/>
      <c r="D413" s="1">
        <f t="shared" si="117"/>
        <v>13</v>
      </c>
      <c r="E413" s="20" t="s">
        <v>248</v>
      </c>
      <c r="F413" s="55">
        <f>SUM(F412,F400:F402)</f>
        <v>1086542590.6269298</v>
      </c>
      <c r="G413" s="55">
        <f>SUM(G412,G400:G402)</f>
        <v>518159345.40552068</v>
      </c>
      <c r="H413" s="55">
        <f>SUM(H412,H400:H402)</f>
        <v>490953541.26751411</v>
      </c>
      <c r="I413" s="55">
        <f>SUM(I412,I400:I402)</f>
        <v>42635522.894446135</v>
      </c>
      <c r="J413" s="55">
        <f t="shared" ref="J413:V413" si="122">SUM(J412,J400:J402)</f>
        <v>6821990.5633444181</v>
      </c>
      <c r="K413" s="55">
        <f t="shared" si="122"/>
        <v>4421548.1148033515</v>
      </c>
      <c r="L413" s="55">
        <f t="shared" si="122"/>
        <v>7684167.8972060429</v>
      </c>
      <c r="M413" s="55">
        <f t="shared" si="122"/>
        <v>2092926.088252665</v>
      </c>
      <c r="N413" s="55">
        <f t="shared" si="122"/>
        <v>714446.07547959115</v>
      </c>
      <c r="O413" s="55">
        <f t="shared" si="122"/>
        <v>1264628.9258489159</v>
      </c>
      <c r="P413" s="55">
        <f t="shared" si="122"/>
        <v>1094319.3840452505</v>
      </c>
      <c r="Q413" s="55">
        <f t="shared" si="122"/>
        <v>1246639.9519262661</v>
      </c>
      <c r="R413" s="55">
        <f t="shared" si="122"/>
        <v>369013.89970818994</v>
      </c>
      <c r="S413" s="55">
        <f t="shared" si="122"/>
        <v>1206724.0882890259</v>
      </c>
      <c r="T413" s="55">
        <f t="shared" si="122"/>
        <v>427156.14576489996</v>
      </c>
      <c r="U413" s="55">
        <f t="shared" si="122"/>
        <v>3473090.0900035584</v>
      </c>
      <c r="V413" s="55">
        <f t="shared" si="122"/>
        <v>1571494.6295435708</v>
      </c>
      <c r="X413" s="6"/>
      <c r="Y413" s="6"/>
      <c r="Z413" s="6"/>
      <c r="AA413" s="6"/>
      <c r="AB413" s="6"/>
      <c r="AC413" s="20" t="str">
        <f t="shared" si="114"/>
        <v xml:space="preserve">      Total</v>
      </c>
      <c r="AD413" s="6"/>
      <c r="AE413" s="55">
        <f>SUM(AE412,AE400:AE402)</f>
        <v>1431631.5682524573</v>
      </c>
      <c r="AF413" s="55">
        <f>SUM(AF412,AF400:AF402)</f>
        <v>974403.63698063197</v>
      </c>
      <c r="AG413" s="6"/>
      <c r="AH413" s="6"/>
      <c r="AI413" s="6"/>
    </row>
    <row r="414" spans="1:35" ht="17.25" thickTop="1" x14ac:dyDescent="0.3">
      <c r="A414" s="28"/>
      <c r="B414" s="28"/>
      <c r="C414" s="26"/>
      <c r="D414" s="1"/>
      <c r="E414" s="20" t="s">
        <v>255</v>
      </c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X414" s="6"/>
      <c r="Y414" s="6"/>
      <c r="Z414" s="6"/>
      <c r="AA414" s="6"/>
      <c r="AB414" s="6"/>
      <c r="AC414" s="20" t="str">
        <f t="shared" si="114"/>
        <v>Allocated Return on Debt</v>
      </c>
      <c r="AD414" s="6"/>
      <c r="AE414" s="6"/>
      <c r="AF414" s="6"/>
      <c r="AG414" s="6"/>
      <c r="AH414" s="6"/>
      <c r="AI414" s="6"/>
    </row>
    <row r="415" spans="1:35" ht="16.5" x14ac:dyDescent="0.3">
      <c r="A415" s="28"/>
      <c r="B415" s="28"/>
      <c r="C415" s="26"/>
      <c r="D415" s="1">
        <f>MAX(D412:D414)+NoOne</f>
        <v>14</v>
      </c>
      <c r="E415" s="6" t="s">
        <v>224</v>
      </c>
      <c r="F415" s="22">
        <f>SUM(G415:AF415)</f>
        <v>57498957.907749094</v>
      </c>
      <c r="G415" s="22">
        <f>G366*G$319</f>
        <v>23242527.014702965</v>
      </c>
      <c r="H415" s="22">
        <f t="shared" ref="G415:U417" si="123">H366*H$319</f>
        <v>15167953.207185796</v>
      </c>
      <c r="I415" s="22">
        <f t="shared" si="123"/>
        <v>18215993.031328231</v>
      </c>
      <c r="J415" s="22">
        <f t="shared" si="123"/>
        <v>0</v>
      </c>
      <c r="K415" s="22">
        <f t="shared" si="123"/>
        <v>0</v>
      </c>
      <c r="L415" s="22">
        <f t="shared" si="123"/>
        <v>0</v>
      </c>
      <c r="M415" s="22">
        <f t="shared" si="123"/>
        <v>0</v>
      </c>
      <c r="N415" s="22">
        <f t="shared" si="123"/>
        <v>0</v>
      </c>
      <c r="O415" s="22">
        <f t="shared" si="123"/>
        <v>0</v>
      </c>
      <c r="P415" s="22">
        <f t="shared" si="123"/>
        <v>0</v>
      </c>
      <c r="Q415" s="22">
        <f t="shared" si="123"/>
        <v>0</v>
      </c>
      <c r="R415" s="22">
        <f t="shared" si="123"/>
        <v>0</v>
      </c>
      <c r="S415" s="22">
        <f t="shared" si="123"/>
        <v>0</v>
      </c>
      <c r="T415" s="22">
        <f t="shared" si="123"/>
        <v>0</v>
      </c>
      <c r="U415" s="22">
        <f t="shared" si="123"/>
        <v>0</v>
      </c>
      <c r="V415" s="22">
        <f>S545</f>
        <v>872484.65453210392</v>
      </c>
      <c r="X415" s="6"/>
      <c r="Y415" s="6" t="s">
        <v>39</v>
      </c>
      <c r="Z415" s="6"/>
      <c r="AA415" s="6"/>
      <c r="AB415" s="6"/>
      <c r="AC415" s="6" t="str">
        <f t="shared" si="114"/>
        <v>Newfoundland Power</v>
      </c>
      <c r="AD415" s="6"/>
      <c r="AE415" s="22">
        <f t="shared" ref="AE415:AF417" si="124">AE366*AE$319</f>
        <v>0</v>
      </c>
      <c r="AF415" s="22">
        <f t="shared" si="124"/>
        <v>0</v>
      </c>
      <c r="AG415" s="6"/>
      <c r="AH415" s="6"/>
      <c r="AI415" s="6"/>
    </row>
    <row r="416" spans="1:35" ht="16.5" x14ac:dyDescent="0.3">
      <c r="A416" s="28"/>
      <c r="B416" s="28"/>
      <c r="C416" s="26"/>
      <c r="D416" s="1">
        <f>MAX(D413:D415)+NoOne</f>
        <v>15</v>
      </c>
      <c r="E416" s="17" t="s">
        <v>227</v>
      </c>
      <c r="F416" s="22">
        <f>SUM(G416:AF416)</f>
        <v>3949631.5776536711</v>
      </c>
      <c r="G416" s="22">
        <f t="shared" si="123"/>
        <v>1304695.0922406025</v>
      </c>
      <c r="H416" s="22">
        <f t="shared" si="123"/>
        <v>1546838.6304732147</v>
      </c>
      <c r="I416" s="22">
        <f t="shared" si="123"/>
        <v>995719.3319656403</v>
      </c>
      <c r="J416" s="22">
        <f t="shared" si="123"/>
        <v>0</v>
      </c>
      <c r="K416" s="22">
        <f t="shared" si="123"/>
        <v>0</v>
      </c>
      <c r="L416" s="22">
        <f t="shared" si="123"/>
        <v>0</v>
      </c>
      <c r="M416" s="22">
        <f t="shared" si="123"/>
        <v>0</v>
      </c>
      <c r="N416" s="22">
        <f t="shared" si="123"/>
        <v>0</v>
      </c>
      <c r="O416" s="22">
        <f t="shared" si="123"/>
        <v>0</v>
      </c>
      <c r="P416" s="22">
        <f t="shared" si="123"/>
        <v>0</v>
      </c>
      <c r="Q416" s="22">
        <f t="shared" si="123"/>
        <v>0</v>
      </c>
      <c r="R416" s="22">
        <f t="shared" si="123"/>
        <v>0</v>
      </c>
      <c r="S416" s="22">
        <f t="shared" si="123"/>
        <v>0</v>
      </c>
      <c r="T416" s="22">
        <f t="shared" si="123"/>
        <v>0</v>
      </c>
      <c r="U416" s="22">
        <f t="shared" si="123"/>
        <v>0</v>
      </c>
      <c r="V416" s="22">
        <f>S553</f>
        <v>102378.52297421409</v>
      </c>
      <c r="X416" s="6"/>
      <c r="Y416" s="6"/>
      <c r="Z416" s="6"/>
      <c r="AA416" s="6"/>
      <c r="AB416" s="6"/>
      <c r="AC416" s="17" t="str">
        <f t="shared" si="114"/>
        <v>Industrial - Firm</v>
      </c>
      <c r="AD416" s="6"/>
      <c r="AE416" s="22">
        <f t="shared" si="124"/>
        <v>0</v>
      </c>
      <c r="AF416" s="22">
        <f t="shared" si="124"/>
        <v>0</v>
      </c>
      <c r="AG416" s="6"/>
      <c r="AH416" s="6"/>
      <c r="AI416" s="6"/>
    </row>
    <row r="417" spans="1:35" ht="16.5" x14ac:dyDescent="0.3">
      <c r="A417" s="28"/>
      <c r="B417" s="28"/>
      <c r="C417" s="26"/>
      <c r="D417" s="1">
        <f>MAX(D414:D416)+NoOne</f>
        <v>16</v>
      </c>
      <c r="E417" s="17" t="s">
        <v>229</v>
      </c>
      <c r="F417" s="22">
        <f>SUM(G417:AF417)</f>
        <v>0</v>
      </c>
      <c r="G417" s="22">
        <f t="shared" si="123"/>
        <v>0</v>
      </c>
      <c r="H417" s="22">
        <f t="shared" si="123"/>
        <v>0</v>
      </c>
      <c r="I417" s="22">
        <f t="shared" si="123"/>
        <v>0</v>
      </c>
      <c r="J417" s="22">
        <f t="shared" si="123"/>
        <v>0</v>
      </c>
      <c r="K417" s="22">
        <f t="shared" si="123"/>
        <v>0</v>
      </c>
      <c r="L417" s="22">
        <f t="shared" si="123"/>
        <v>0</v>
      </c>
      <c r="M417" s="22">
        <f t="shared" si="123"/>
        <v>0</v>
      </c>
      <c r="N417" s="22">
        <f t="shared" si="123"/>
        <v>0</v>
      </c>
      <c r="O417" s="22">
        <f t="shared" si="123"/>
        <v>0</v>
      </c>
      <c r="P417" s="22">
        <f t="shared" si="123"/>
        <v>0</v>
      </c>
      <c r="Q417" s="22">
        <f t="shared" si="123"/>
        <v>0</v>
      </c>
      <c r="R417" s="22">
        <f t="shared" si="123"/>
        <v>0</v>
      </c>
      <c r="S417" s="22">
        <f t="shared" si="123"/>
        <v>0</v>
      </c>
      <c r="T417" s="22">
        <f t="shared" si="123"/>
        <v>0</v>
      </c>
      <c r="U417" s="22">
        <f t="shared" si="123"/>
        <v>0</v>
      </c>
      <c r="V417" s="22">
        <f>IF(V$363&lt;&gt;0,(SUM(V$319:V$320)/V$363)*V$353,0)</f>
        <v>0</v>
      </c>
      <c r="X417" s="6"/>
      <c r="Y417" s="6"/>
      <c r="Z417" s="6"/>
      <c r="AA417" s="6"/>
      <c r="AB417" s="6"/>
      <c r="AC417" s="17" t="str">
        <f t="shared" si="114"/>
        <v>Industrial - Non-Firm</v>
      </c>
      <c r="AD417" s="6"/>
      <c r="AE417" s="22">
        <f t="shared" si="124"/>
        <v>0</v>
      </c>
      <c r="AF417" s="22">
        <f t="shared" si="124"/>
        <v>0</v>
      </c>
      <c r="AG417" s="6"/>
      <c r="AH417" s="6"/>
      <c r="AI417" s="6"/>
    </row>
    <row r="418" spans="1:35" ht="16.5" x14ac:dyDescent="0.3">
      <c r="A418" s="28"/>
      <c r="B418" s="28"/>
      <c r="C418" s="26"/>
      <c r="D418" s="1"/>
      <c r="E418" s="20" t="s">
        <v>230</v>
      </c>
      <c r="F418" s="22"/>
      <c r="G418" s="22" t="s">
        <v>39</v>
      </c>
      <c r="H418" s="22" t="s">
        <v>39</v>
      </c>
      <c r="I418" s="22" t="s">
        <v>39</v>
      </c>
      <c r="J418" s="22" t="s">
        <v>39</v>
      </c>
      <c r="K418" s="22" t="s">
        <v>39</v>
      </c>
      <c r="L418" s="22" t="s">
        <v>39</v>
      </c>
      <c r="M418" s="22" t="s">
        <v>39</v>
      </c>
      <c r="N418" s="22" t="s">
        <v>39</v>
      </c>
      <c r="O418" s="22" t="s">
        <v>39</v>
      </c>
      <c r="P418" s="22" t="s">
        <v>39</v>
      </c>
      <c r="Q418" s="22" t="s">
        <v>39</v>
      </c>
      <c r="R418" s="22" t="s">
        <v>39</v>
      </c>
      <c r="S418" s="22" t="s">
        <v>39</v>
      </c>
      <c r="T418" s="22" t="s">
        <v>39</v>
      </c>
      <c r="U418" s="22" t="s">
        <v>39</v>
      </c>
      <c r="V418" s="22"/>
      <c r="X418" s="6"/>
      <c r="Y418" s="6"/>
      <c r="Z418" s="1"/>
      <c r="AA418" s="6"/>
      <c r="AB418" s="6"/>
      <c r="AC418" s="20" t="str">
        <f t="shared" si="114"/>
        <v>Rural</v>
      </c>
      <c r="AD418" s="6"/>
      <c r="AE418" s="22" t="s">
        <v>39</v>
      </c>
      <c r="AF418" s="22" t="s">
        <v>39</v>
      </c>
      <c r="AG418" s="6"/>
      <c r="AH418" s="6"/>
      <c r="AI418" s="6"/>
    </row>
    <row r="419" spans="1:35" ht="16.5" x14ac:dyDescent="0.3">
      <c r="A419" s="28"/>
      <c r="B419" s="28"/>
      <c r="C419" s="26"/>
      <c r="D419" s="1">
        <f t="shared" ref="D419:D428" si="125">MAX(D416:D418)+NoOne</f>
        <v>17</v>
      </c>
      <c r="E419" s="17" t="s">
        <v>232</v>
      </c>
      <c r="F419" s="22">
        <f t="shared" ref="F419:F426" si="126">SUM(G419:AF419)</f>
        <v>4045898.7545037176</v>
      </c>
      <c r="G419" s="22">
        <f t="shared" ref="G419:U426" si="127">G370*G$319</f>
        <v>526157.553597513</v>
      </c>
      <c r="H419" s="22">
        <f t="shared" si="127"/>
        <v>298743.49561488454</v>
      </c>
      <c r="I419" s="22">
        <f t="shared" si="127"/>
        <v>401553.78133374354</v>
      </c>
      <c r="J419" s="22">
        <f t="shared" si="127"/>
        <v>602231.45017898222</v>
      </c>
      <c r="K419" s="22">
        <f t="shared" si="127"/>
        <v>707731.52261736093</v>
      </c>
      <c r="L419" s="22">
        <f t="shared" si="127"/>
        <v>629890.55496846628</v>
      </c>
      <c r="M419" s="22">
        <f t="shared" si="127"/>
        <v>255038.17383848212</v>
      </c>
      <c r="N419" s="22">
        <f t="shared" si="127"/>
        <v>63904.670488577161</v>
      </c>
      <c r="O419" s="22">
        <f t="shared" si="127"/>
        <v>159854.57661086626</v>
      </c>
      <c r="P419" s="22">
        <f t="shared" si="127"/>
        <v>91029.562774823731</v>
      </c>
      <c r="Q419" s="22">
        <f t="shared" si="127"/>
        <v>147018.31352923022</v>
      </c>
      <c r="R419" s="22">
        <f t="shared" si="127"/>
        <v>22164.952014625476</v>
      </c>
      <c r="S419" s="22">
        <f t="shared" si="127"/>
        <v>83217.053284199821</v>
      </c>
      <c r="T419" s="22">
        <f t="shared" si="127"/>
        <v>0</v>
      </c>
      <c r="U419" s="22">
        <f t="shared" si="127"/>
        <v>57363.093651961542</v>
      </c>
      <c r="V419" s="22">
        <f>IF(V$363&lt;&gt;0,(SUM(V$319:V$320)/V$363)*V$353,0)</f>
        <v>0</v>
      </c>
      <c r="X419" s="6"/>
      <c r="Y419" s="6"/>
      <c r="Z419" s="6"/>
      <c r="AA419" s="6"/>
      <c r="AB419" s="6"/>
      <c r="AC419" s="17" t="str">
        <f t="shared" si="114"/>
        <v>1.1 Domestic</v>
      </c>
      <c r="AD419" s="6"/>
      <c r="AE419" s="22">
        <f t="shared" ref="AE419:AF426" si="128">AE370*AE$319</f>
        <v>0</v>
      </c>
      <c r="AF419" s="22">
        <f t="shared" si="128"/>
        <v>0</v>
      </c>
      <c r="AG419" s="6"/>
      <c r="AH419" s="6"/>
      <c r="AI419" s="6"/>
    </row>
    <row r="420" spans="1:35" ht="16.5" x14ac:dyDescent="0.3">
      <c r="A420" s="28"/>
      <c r="B420" s="28"/>
      <c r="C420" s="26"/>
      <c r="D420" s="1">
        <f t="shared" si="125"/>
        <v>18</v>
      </c>
      <c r="E420" s="17" t="s">
        <v>234</v>
      </c>
      <c r="F420" s="22">
        <f t="shared" si="126"/>
        <v>4460358.3876528656</v>
      </c>
      <c r="G420" s="22">
        <f t="shared" si="127"/>
        <v>610712.83008163667</v>
      </c>
      <c r="H420" s="22">
        <f t="shared" si="127"/>
        <v>402766.91394062445</v>
      </c>
      <c r="I420" s="22">
        <f t="shared" si="127"/>
        <v>466084.81537814479</v>
      </c>
      <c r="J420" s="22">
        <f t="shared" si="127"/>
        <v>699012.0559673988</v>
      </c>
      <c r="K420" s="22">
        <f t="shared" si="127"/>
        <v>821466.34246795182</v>
      </c>
      <c r="L420" s="22">
        <f t="shared" si="127"/>
        <v>731116.071291356</v>
      </c>
      <c r="M420" s="22">
        <f t="shared" si="127"/>
        <v>193346.14274981164</v>
      </c>
      <c r="N420" s="22">
        <f t="shared" si="127"/>
        <v>74174.364508634666</v>
      </c>
      <c r="O420" s="22">
        <f t="shared" si="127"/>
        <v>121186.82204880078</v>
      </c>
      <c r="P420" s="22">
        <f t="shared" si="127"/>
        <v>105658.31759555564</v>
      </c>
      <c r="Q420" s="22">
        <f t="shared" si="127"/>
        <v>111455.56528514503</v>
      </c>
      <c r="R420" s="22">
        <f t="shared" si="127"/>
        <v>16803.398141395697</v>
      </c>
      <c r="S420" s="22">
        <f t="shared" si="127"/>
        <v>63087.403824085268</v>
      </c>
      <c r="T420" s="22">
        <f t="shared" si="127"/>
        <v>0</v>
      </c>
      <c r="U420" s="22">
        <f t="shared" si="127"/>
        <v>43487.344372325038</v>
      </c>
      <c r="V420" s="22">
        <f>IF(V$363&lt;&gt;0,(SUM(V$319:V$320)/V$363)*V$354,0)</f>
        <v>0</v>
      </c>
      <c r="X420" s="6"/>
      <c r="Y420" s="6"/>
      <c r="Z420" s="6"/>
      <c r="AA420" s="6"/>
      <c r="AB420" s="6"/>
      <c r="AC420" s="17" t="str">
        <f t="shared" si="114"/>
        <v xml:space="preserve">1.12 Domestic All Electric </v>
      </c>
      <c r="AD420" s="6"/>
      <c r="AE420" s="22">
        <f t="shared" si="128"/>
        <v>0</v>
      </c>
      <c r="AF420" s="22">
        <f t="shared" si="128"/>
        <v>0</v>
      </c>
      <c r="AG420" s="6"/>
      <c r="AH420" s="6"/>
      <c r="AI420" s="6"/>
    </row>
    <row r="421" spans="1:35" ht="16.5" x14ac:dyDescent="0.3">
      <c r="A421" s="28"/>
      <c r="B421" s="28"/>
      <c r="C421" s="26"/>
      <c r="D421" s="1">
        <f t="shared" si="125"/>
        <v>19</v>
      </c>
      <c r="E421" s="17" t="s">
        <v>236</v>
      </c>
      <c r="F421" s="22">
        <f t="shared" si="126"/>
        <v>13167.828187534056</v>
      </c>
      <c r="G421" s="22">
        <f t="shared" si="127"/>
        <v>2116.4014376240752</v>
      </c>
      <c r="H421" s="22">
        <f t="shared" si="127"/>
        <v>947.16527296783477</v>
      </c>
      <c r="I421" s="22">
        <f t="shared" si="127"/>
        <v>1615.1987067132648</v>
      </c>
      <c r="J421" s="22">
        <f t="shared" si="127"/>
        <v>2422.3989529877845</v>
      </c>
      <c r="K421" s="22">
        <f t="shared" si="127"/>
        <v>2846.759495664377</v>
      </c>
      <c r="L421" s="22">
        <f t="shared" si="127"/>
        <v>2533.6541630282313</v>
      </c>
      <c r="M421" s="22">
        <f t="shared" si="127"/>
        <v>22.189004903540457</v>
      </c>
      <c r="N421" s="22">
        <f t="shared" si="127"/>
        <v>257.04836045435957</v>
      </c>
      <c r="O421" s="22">
        <f t="shared" si="127"/>
        <v>13.907776749210296</v>
      </c>
      <c r="P421" s="22">
        <f t="shared" si="127"/>
        <v>366.15476905288432</v>
      </c>
      <c r="Q421" s="22">
        <f t="shared" si="127"/>
        <v>12.790987445966858</v>
      </c>
      <c r="R421" s="22">
        <f t="shared" si="127"/>
        <v>1.9284102514423445</v>
      </c>
      <c r="S421" s="22">
        <f t="shared" si="127"/>
        <v>7.2401067479047434</v>
      </c>
      <c r="T421" s="22">
        <f t="shared" si="127"/>
        <v>0</v>
      </c>
      <c r="U421" s="22">
        <f t="shared" si="127"/>
        <v>4.9907429431788488</v>
      </c>
      <c r="V421" s="22">
        <f>IF(V$363&lt;&gt;0,(SUM(V$319:V$320)/V$363)*V$355,0)</f>
        <v>0</v>
      </c>
      <c r="X421" s="6"/>
      <c r="Y421" s="6"/>
      <c r="Z421" s="6"/>
      <c r="AA421" s="6"/>
      <c r="AB421" s="6"/>
      <c r="AC421" s="17" t="str">
        <f t="shared" si="114"/>
        <v>1.3 Special</v>
      </c>
      <c r="AD421" s="6"/>
      <c r="AE421" s="22">
        <f t="shared" si="128"/>
        <v>0</v>
      </c>
      <c r="AF421" s="22">
        <f t="shared" si="128"/>
        <v>0</v>
      </c>
      <c r="AG421" s="6"/>
      <c r="AH421" s="6"/>
      <c r="AI421" s="6"/>
    </row>
    <row r="422" spans="1:35" ht="16.5" x14ac:dyDescent="0.3">
      <c r="A422" s="28"/>
      <c r="B422" s="28"/>
      <c r="C422" s="26"/>
      <c r="D422" s="1">
        <f t="shared" si="125"/>
        <v>20</v>
      </c>
      <c r="E422" s="17" t="s">
        <v>238</v>
      </c>
      <c r="F422" s="22">
        <f t="shared" si="126"/>
        <v>1888269.2083384129</v>
      </c>
      <c r="G422" s="22">
        <f t="shared" si="127"/>
        <v>242217.10548503351</v>
      </c>
      <c r="H422" s="22">
        <f t="shared" si="127"/>
        <v>199967.59964392512</v>
      </c>
      <c r="I422" s="22">
        <f t="shared" si="127"/>
        <v>184855.64627212673</v>
      </c>
      <c r="J422" s="22">
        <f t="shared" si="127"/>
        <v>277237.79255289724</v>
      </c>
      <c r="K422" s="22">
        <f t="shared" si="127"/>
        <v>325804.84627998876</v>
      </c>
      <c r="L422" s="22">
        <f t="shared" si="127"/>
        <v>289970.68644866912</v>
      </c>
      <c r="M422" s="22">
        <f t="shared" si="127"/>
        <v>67487.858414118295</v>
      </c>
      <c r="N422" s="22">
        <f t="shared" si="127"/>
        <v>29418.572834095608</v>
      </c>
      <c r="O422" s="22">
        <f t="shared" si="127"/>
        <v>42300.502982723112</v>
      </c>
      <c r="P422" s="22">
        <f t="shared" si="127"/>
        <v>41905.541521033432</v>
      </c>
      <c r="Q422" s="22">
        <f t="shared" si="127"/>
        <v>38903.788316908198</v>
      </c>
      <c r="R422" s="22">
        <f t="shared" si="127"/>
        <v>27978.023385169377</v>
      </c>
      <c r="S422" s="22">
        <f t="shared" si="127"/>
        <v>105041.89954004597</v>
      </c>
      <c r="T422" s="22">
        <f t="shared" si="127"/>
        <v>0</v>
      </c>
      <c r="U422" s="22">
        <f t="shared" si="127"/>
        <v>15179.344661678468</v>
      </c>
      <c r="V422" s="22">
        <f>IF(V$363&lt;&gt;0,(SUM(V$319:V$320)/V$363)*V$356,0)</f>
        <v>0</v>
      </c>
      <c r="X422" s="6"/>
      <c r="Y422" s="6"/>
      <c r="Z422" s="6"/>
      <c r="AA422" s="6"/>
      <c r="AB422" s="6"/>
      <c r="AC422" s="17" t="str">
        <f t="shared" si="114"/>
        <v>2.1 GS 0-10 kW</v>
      </c>
      <c r="AD422" s="6"/>
      <c r="AE422" s="22">
        <f t="shared" si="128"/>
        <v>0</v>
      </c>
      <c r="AF422" s="22">
        <f t="shared" si="128"/>
        <v>0</v>
      </c>
      <c r="AG422" s="6"/>
      <c r="AH422" s="6"/>
      <c r="AI422" s="6"/>
    </row>
    <row r="423" spans="1:35" ht="16.5" x14ac:dyDescent="0.3">
      <c r="A423" s="28"/>
      <c r="B423" s="28"/>
      <c r="C423" s="26"/>
      <c r="D423" s="1">
        <f t="shared" si="125"/>
        <v>21</v>
      </c>
      <c r="E423" s="17" t="s">
        <v>240</v>
      </c>
      <c r="F423" s="22">
        <f t="shared" si="126"/>
        <v>0</v>
      </c>
      <c r="G423" s="22">
        <f t="shared" si="127"/>
        <v>0</v>
      </c>
      <c r="H423" s="22">
        <f t="shared" si="127"/>
        <v>0</v>
      </c>
      <c r="I423" s="22">
        <f t="shared" si="127"/>
        <v>0</v>
      </c>
      <c r="J423" s="22">
        <f t="shared" si="127"/>
        <v>0</v>
      </c>
      <c r="K423" s="22">
        <f t="shared" si="127"/>
        <v>0</v>
      </c>
      <c r="L423" s="22">
        <f t="shared" si="127"/>
        <v>0</v>
      </c>
      <c r="M423" s="22">
        <f t="shared" si="127"/>
        <v>0</v>
      </c>
      <c r="N423" s="22">
        <f t="shared" si="127"/>
        <v>0</v>
      </c>
      <c r="O423" s="22">
        <f t="shared" si="127"/>
        <v>0</v>
      </c>
      <c r="P423" s="22">
        <f t="shared" si="127"/>
        <v>0</v>
      </c>
      <c r="Q423" s="22">
        <f t="shared" si="127"/>
        <v>0</v>
      </c>
      <c r="R423" s="22">
        <f t="shared" si="127"/>
        <v>0</v>
      </c>
      <c r="S423" s="22">
        <f t="shared" si="127"/>
        <v>0</v>
      </c>
      <c r="T423" s="22">
        <f t="shared" si="127"/>
        <v>0</v>
      </c>
      <c r="U423" s="22">
        <f t="shared" si="127"/>
        <v>0</v>
      </c>
      <c r="V423" s="22">
        <f>IF(V$363&lt;&gt;0,(SUM(V$319:V$320)/V$363)*V$357,0)</f>
        <v>0</v>
      </c>
      <c r="X423" s="6"/>
      <c r="Y423" s="6"/>
      <c r="Z423" s="6"/>
      <c r="AA423" s="6"/>
      <c r="AB423" s="6"/>
      <c r="AC423" s="17" t="str">
        <f t="shared" si="114"/>
        <v>2.2 GS 10-100 kW</v>
      </c>
      <c r="AD423" s="6"/>
      <c r="AE423" s="22">
        <f t="shared" si="128"/>
        <v>0</v>
      </c>
      <c r="AF423" s="22">
        <f t="shared" si="128"/>
        <v>0</v>
      </c>
      <c r="AG423" s="6"/>
      <c r="AH423" s="6"/>
      <c r="AI423" s="6"/>
    </row>
    <row r="424" spans="1:35" ht="16.5" x14ac:dyDescent="0.3">
      <c r="A424" s="28"/>
      <c r="B424" s="28"/>
      <c r="C424" s="26"/>
      <c r="D424" s="1">
        <f t="shared" si="125"/>
        <v>22</v>
      </c>
      <c r="E424" s="17" t="s">
        <v>242</v>
      </c>
      <c r="F424" s="22">
        <f t="shared" si="126"/>
        <v>1076525.0330986895</v>
      </c>
      <c r="G424" s="22">
        <f t="shared" si="127"/>
        <v>160174.92237223877</v>
      </c>
      <c r="H424" s="22">
        <f t="shared" si="127"/>
        <v>148889.742848503</v>
      </c>
      <c r="I424" s="22">
        <f t="shared" si="127"/>
        <v>122242.55893247585</v>
      </c>
      <c r="J424" s="22">
        <f t="shared" si="127"/>
        <v>183333.6329070905</v>
      </c>
      <c r="K424" s="22">
        <f t="shared" si="127"/>
        <v>215450.37398120886</v>
      </c>
      <c r="L424" s="22">
        <f t="shared" si="127"/>
        <v>191753.7248210996</v>
      </c>
      <c r="M424" s="22">
        <f t="shared" si="127"/>
        <v>1852.7819094456281</v>
      </c>
      <c r="N424" s="22">
        <f t="shared" si="127"/>
        <v>18039.304081303064</v>
      </c>
      <c r="O424" s="22">
        <f t="shared" si="127"/>
        <v>1161.2993585590596</v>
      </c>
      <c r="P424" s="22">
        <f t="shared" si="127"/>
        <v>25696.243337591968</v>
      </c>
      <c r="Q424" s="22">
        <f t="shared" si="127"/>
        <v>1068.0474517382327</v>
      </c>
      <c r="R424" s="22">
        <f t="shared" si="127"/>
        <v>1355.7158631961424</v>
      </c>
      <c r="S424" s="22">
        <f t="shared" si="127"/>
        <v>5089.9581984831402</v>
      </c>
      <c r="T424" s="22">
        <f t="shared" si="127"/>
        <v>0</v>
      </c>
      <c r="U424" s="22">
        <f t="shared" si="127"/>
        <v>416.72703575543386</v>
      </c>
      <c r="V424" s="22">
        <f>IF(V$363&lt;&gt;0,(SUM(V$319:V$320)/V$363)*V$358,0)</f>
        <v>0</v>
      </c>
      <c r="X424" s="6"/>
      <c r="Y424" s="6"/>
      <c r="Z424" s="6"/>
      <c r="AA424" s="6"/>
      <c r="AB424" s="6"/>
      <c r="AC424" s="17" t="str">
        <f t="shared" si="114"/>
        <v>2.3 GS 110-1,000 kVa</v>
      </c>
      <c r="AD424" s="6"/>
      <c r="AE424" s="22">
        <f t="shared" si="128"/>
        <v>0</v>
      </c>
      <c r="AF424" s="22">
        <f t="shared" si="128"/>
        <v>0</v>
      </c>
      <c r="AG424" s="6"/>
      <c r="AH424" s="6"/>
      <c r="AI424" s="6"/>
    </row>
    <row r="425" spans="1:35" ht="16.5" x14ac:dyDescent="0.3">
      <c r="A425" s="28"/>
      <c r="B425" s="28"/>
      <c r="C425" s="26"/>
      <c r="D425" s="1">
        <f t="shared" si="125"/>
        <v>23</v>
      </c>
      <c r="E425" s="17" t="s">
        <v>244</v>
      </c>
      <c r="F425" s="22">
        <f t="shared" si="126"/>
        <v>629145.82535508473</v>
      </c>
      <c r="G425" s="22">
        <f t="shared" si="127"/>
        <v>93503.591544695664</v>
      </c>
      <c r="H425" s="22">
        <f t="shared" si="127"/>
        <v>107137.69145894783</v>
      </c>
      <c r="I425" s="22">
        <f t="shared" si="127"/>
        <v>71360.223751116107</v>
      </c>
      <c r="J425" s="22">
        <f t="shared" si="127"/>
        <v>107022.70289172839</v>
      </c>
      <c r="K425" s="22">
        <f t="shared" si="127"/>
        <v>125771.14737145921</v>
      </c>
      <c r="L425" s="22">
        <f t="shared" si="127"/>
        <v>111938.00937938588</v>
      </c>
      <c r="M425" s="22">
        <f t="shared" si="127"/>
        <v>177.51203922832366</v>
      </c>
      <c r="N425" s="22">
        <f t="shared" si="127"/>
        <v>4687.1828872303531</v>
      </c>
      <c r="O425" s="22">
        <f t="shared" si="127"/>
        <v>111.26221399368237</v>
      </c>
      <c r="P425" s="22">
        <f t="shared" si="127"/>
        <v>6676.6983634863091</v>
      </c>
      <c r="Q425" s="22">
        <f t="shared" si="127"/>
        <v>102.32789956773486</v>
      </c>
      <c r="R425" s="22">
        <f t="shared" si="127"/>
        <v>129.88894497687593</v>
      </c>
      <c r="S425" s="22">
        <f t="shared" si="127"/>
        <v>487.66066572293562</v>
      </c>
      <c r="T425" s="22">
        <f t="shared" si="127"/>
        <v>0</v>
      </c>
      <c r="U425" s="22">
        <f t="shared" si="127"/>
        <v>39.92594354543079</v>
      </c>
      <c r="V425" s="22">
        <f>IF(V$363&lt;&gt;0,(SUM(V$319:V$320)/V$363)*V$359,0)</f>
        <v>0</v>
      </c>
      <c r="X425" s="6"/>
      <c r="Y425" s="6"/>
      <c r="Z425" s="6"/>
      <c r="AA425" s="6"/>
      <c r="AB425" s="6"/>
      <c r="AC425" s="17" t="str">
        <f t="shared" si="114"/>
        <v>2.4 GS Over 1,000 kVa</v>
      </c>
      <c r="AD425" s="6"/>
      <c r="AE425" s="22">
        <f t="shared" si="128"/>
        <v>0</v>
      </c>
      <c r="AF425" s="22">
        <f t="shared" si="128"/>
        <v>0</v>
      </c>
      <c r="AG425" s="6"/>
      <c r="AH425" s="6"/>
      <c r="AI425" s="6"/>
    </row>
    <row r="426" spans="1:35" ht="16.5" x14ac:dyDescent="0.3">
      <c r="A426" s="28"/>
      <c r="B426" s="28"/>
      <c r="C426" s="26"/>
      <c r="D426" s="1">
        <f t="shared" si="125"/>
        <v>24</v>
      </c>
      <c r="E426" s="17" t="s">
        <v>246</v>
      </c>
      <c r="F426" s="34">
        <f t="shared" si="126"/>
        <v>201169.38888666645</v>
      </c>
      <c r="G426" s="22">
        <f t="shared" si="127"/>
        <v>10021.503494566881</v>
      </c>
      <c r="H426" s="22">
        <f t="shared" si="127"/>
        <v>5701.7160465082652</v>
      </c>
      <c r="I426" s="22">
        <f t="shared" si="127"/>
        <v>7648.2274090299725</v>
      </c>
      <c r="J426" s="22">
        <f t="shared" si="127"/>
        <v>11470.451276887792</v>
      </c>
      <c r="K426" s="22">
        <f t="shared" si="127"/>
        <v>13479.867158859592</v>
      </c>
      <c r="L426" s="22">
        <f t="shared" si="127"/>
        <v>11997.262710856943</v>
      </c>
      <c r="M426" s="22">
        <f t="shared" si="127"/>
        <v>23442.68368059049</v>
      </c>
      <c r="N426" s="22">
        <f t="shared" si="127"/>
        <v>1217.1656079850075</v>
      </c>
      <c r="O426" s="22">
        <f t="shared" si="127"/>
        <v>14693.566135540676</v>
      </c>
      <c r="P426" s="22">
        <f t="shared" si="127"/>
        <v>1733.8021191930357</v>
      </c>
      <c r="Q426" s="22">
        <f t="shared" si="127"/>
        <v>13513.678236663984</v>
      </c>
      <c r="R426" s="22">
        <f t="shared" si="127"/>
        <v>0</v>
      </c>
      <c r="S426" s="22">
        <f t="shared" si="127"/>
        <v>0</v>
      </c>
      <c r="T426" s="22">
        <f t="shared" si="127"/>
        <v>80976.745090515353</v>
      </c>
      <c r="U426" s="22">
        <f t="shared" si="127"/>
        <v>5272.7199194684536</v>
      </c>
      <c r="V426" s="34">
        <f>IF(V$363&lt;&gt;0,(SUM(V$319:V$320)/V$363)*V$360,0)</f>
        <v>0</v>
      </c>
      <c r="X426" s="6"/>
      <c r="Y426" s="6"/>
      <c r="Z426" s="6"/>
      <c r="AA426" s="6"/>
      <c r="AB426" s="6"/>
      <c r="AC426" s="17" t="str">
        <f t="shared" si="114"/>
        <v>4.1 Street and Area Lighting</v>
      </c>
      <c r="AD426" s="6"/>
      <c r="AE426" s="22">
        <f t="shared" si="128"/>
        <v>0</v>
      </c>
      <c r="AF426" s="22">
        <f t="shared" si="128"/>
        <v>0</v>
      </c>
      <c r="AG426" s="6"/>
      <c r="AH426" s="6"/>
      <c r="AI426" s="6"/>
    </row>
    <row r="427" spans="1:35" ht="16.5" x14ac:dyDescent="0.3">
      <c r="A427" s="28">
        <f>SUM(G427:AF427)-F427</f>
        <v>0</v>
      </c>
      <c r="B427" s="28"/>
      <c r="C427" s="29"/>
      <c r="D427" s="1">
        <f t="shared" si="125"/>
        <v>25</v>
      </c>
      <c r="E427" s="20" t="s">
        <v>247</v>
      </c>
      <c r="F427" s="30">
        <f>SUM(F419:F426)</f>
        <v>12314534.426022971</v>
      </c>
      <c r="G427" s="30">
        <f>SUM(G419:G426)</f>
        <v>1644903.9080133084</v>
      </c>
      <c r="H427" s="30">
        <f>SUM(H419:H426)</f>
        <v>1164154.3248263609</v>
      </c>
      <c r="I427" s="30">
        <f>SUM(I419:I426)</f>
        <v>1255360.4517833502</v>
      </c>
      <c r="J427" s="30">
        <f t="shared" ref="J427:V427" si="129">SUM(J419:J426)</f>
        <v>1882730.4847279729</v>
      </c>
      <c r="K427" s="30">
        <f t="shared" si="129"/>
        <v>2212550.8593724933</v>
      </c>
      <c r="L427" s="30">
        <f t="shared" si="129"/>
        <v>1969199.9637828623</v>
      </c>
      <c r="M427" s="30">
        <f t="shared" si="129"/>
        <v>541367.34163658007</v>
      </c>
      <c r="N427" s="30">
        <f t="shared" si="129"/>
        <v>191698.30876828023</v>
      </c>
      <c r="O427" s="30">
        <f t="shared" si="129"/>
        <v>339321.93712723284</v>
      </c>
      <c r="P427" s="30">
        <f t="shared" si="129"/>
        <v>273066.32048073702</v>
      </c>
      <c r="Q427" s="30">
        <f t="shared" si="129"/>
        <v>312074.51170669933</v>
      </c>
      <c r="R427" s="30">
        <f t="shared" si="129"/>
        <v>68433.906759615013</v>
      </c>
      <c r="S427" s="30">
        <f t="shared" si="129"/>
        <v>256931.21561928504</v>
      </c>
      <c r="T427" s="30">
        <f t="shared" si="129"/>
        <v>80976.745090515353</v>
      </c>
      <c r="U427" s="30">
        <f t="shared" si="129"/>
        <v>121764.14632767755</v>
      </c>
      <c r="V427" s="30">
        <f t="shared" si="129"/>
        <v>0</v>
      </c>
      <c r="X427" s="6"/>
      <c r="Y427" s="6"/>
      <c r="Z427" s="6"/>
      <c r="AA427" s="6"/>
      <c r="AB427" s="6"/>
      <c r="AC427" s="20" t="str">
        <f t="shared" si="114"/>
        <v xml:space="preserve">    Subtotal Rural</v>
      </c>
      <c r="AD427" s="6"/>
      <c r="AE427" s="30">
        <f>SUM(AE419:AE426)</f>
        <v>0</v>
      </c>
      <c r="AF427" s="30">
        <f>SUM(AF419:AF426)</f>
        <v>0</v>
      </c>
      <c r="AG427" s="6"/>
      <c r="AH427" s="6"/>
      <c r="AI427" s="6"/>
    </row>
    <row r="428" spans="1:35" ht="17.25" thickBot="1" x14ac:dyDescent="0.35">
      <c r="A428" s="28">
        <f>SUM(G428:AF428)-F428</f>
        <v>0</v>
      </c>
      <c r="B428" s="28"/>
      <c r="C428" s="29"/>
      <c r="D428" s="1">
        <f t="shared" si="125"/>
        <v>26</v>
      </c>
      <c r="E428" s="20" t="s">
        <v>248</v>
      </c>
      <c r="F428" s="55">
        <f>SUM(F427,F415:F417)</f>
        <v>73763123.91142574</v>
      </c>
      <c r="G428" s="55">
        <f>SUM(G427,G415:G417)</f>
        <v>26192126.014956877</v>
      </c>
      <c r="H428" s="55">
        <f>SUM(H427,H415:H417)</f>
        <v>17878946.162485372</v>
      </c>
      <c r="I428" s="55">
        <f>SUM(I427,I415:I417)</f>
        <v>20467072.815077223</v>
      </c>
      <c r="J428" s="55">
        <f t="shared" ref="J428:V428" si="130">SUM(J427,J415:J417)</f>
        <v>1882730.4847279729</v>
      </c>
      <c r="K428" s="55">
        <f t="shared" si="130"/>
        <v>2212550.8593724933</v>
      </c>
      <c r="L428" s="55">
        <f t="shared" si="130"/>
        <v>1969199.9637828623</v>
      </c>
      <c r="M428" s="55">
        <f t="shared" si="130"/>
        <v>541367.34163658007</v>
      </c>
      <c r="N428" s="55">
        <f t="shared" si="130"/>
        <v>191698.30876828023</v>
      </c>
      <c r="O428" s="55">
        <f t="shared" si="130"/>
        <v>339321.93712723284</v>
      </c>
      <c r="P428" s="55">
        <f t="shared" si="130"/>
        <v>273066.32048073702</v>
      </c>
      <c r="Q428" s="55">
        <f t="shared" si="130"/>
        <v>312074.51170669933</v>
      </c>
      <c r="R428" s="55">
        <f t="shared" si="130"/>
        <v>68433.906759615013</v>
      </c>
      <c r="S428" s="55">
        <f t="shared" si="130"/>
        <v>256931.21561928504</v>
      </c>
      <c r="T428" s="55">
        <f t="shared" si="130"/>
        <v>80976.745090515353</v>
      </c>
      <c r="U428" s="55">
        <f t="shared" si="130"/>
        <v>121764.14632767755</v>
      </c>
      <c r="V428" s="55">
        <f t="shared" si="130"/>
        <v>974863.17750631797</v>
      </c>
      <c r="X428" s="6"/>
      <c r="Y428" s="6"/>
      <c r="Z428" s="6"/>
      <c r="AA428" s="6"/>
      <c r="AB428" s="6"/>
      <c r="AC428" s="20" t="str">
        <f t="shared" si="114"/>
        <v xml:space="preserve">      Total</v>
      </c>
      <c r="AD428" s="6"/>
      <c r="AE428" s="55">
        <f>SUM(AE427,AE415:AE417)</f>
        <v>0</v>
      </c>
      <c r="AF428" s="55">
        <f>SUM(AF427,AF415:AF417)</f>
        <v>0</v>
      </c>
      <c r="AG428" s="6"/>
      <c r="AH428" s="6"/>
      <c r="AI428" s="6"/>
    </row>
    <row r="429" spans="1:35" ht="17.25" thickTop="1" x14ac:dyDescent="0.3">
      <c r="A429" s="28"/>
      <c r="B429" s="28"/>
      <c r="C429" s="26"/>
      <c r="D429" s="1"/>
      <c r="E429" s="20" t="s">
        <v>256</v>
      </c>
      <c r="F429" s="22" t="s">
        <v>39</v>
      </c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X429" s="6"/>
      <c r="Y429" s="6"/>
      <c r="Z429" s="6"/>
      <c r="AA429" s="6"/>
      <c r="AB429" s="6"/>
      <c r="AC429" s="20" t="str">
        <f t="shared" si="114"/>
        <v>Allocated Return on Equity</v>
      </c>
      <c r="AD429" s="6"/>
      <c r="AE429" s="6"/>
      <c r="AF429" s="6"/>
      <c r="AG429" s="6"/>
      <c r="AH429" s="6"/>
      <c r="AI429" s="6"/>
    </row>
    <row r="430" spans="1:35" ht="16.5" x14ac:dyDescent="0.3">
      <c r="A430" s="28"/>
      <c r="B430" s="28"/>
      <c r="C430" s="26"/>
      <c r="D430" s="1">
        <f>MAX(D427:D429)+NoOne</f>
        <v>27</v>
      </c>
      <c r="E430" s="6" t="s">
        <v>224</v>
      </c>
      <c r="F430" s="22">
        <f>SUM(G430:AF430)</f>
        <v>35721943.949332498</v>
      </c>
      <c r="G430" s="22">
        <f t="shared" ref="G430:U432" si="131">G$320*G366</f>
        <v>14439709.47425068</v>
      </c>
      <c r="H430" s="22">
        <f t="shared" si="131"/>
        <v>9423279.8994808774</v>
      </c>
      <c r="I430" s="22">
        <f t="shared" si="131"/>
        <v>11316912.614147443</v>
      </c>
      <c r="J430" s="22">
        <f t="shared" si="131"/>
        <v>0</v>
      </c>
      <c r="K430" s="22">
        <f t="shared" si="131"/>
        <v>0</v>
      </c>
      <c r="L430" s="22">
        <f t="shared" si="131"/>
        <v>0</v>
      </c>
      <c r="M430" s="22">
        <f t="shared" si="131"/>
        <v>0</v>
      </c>
      <c r="N430" s="22">
        <f t="shared" si="131"/>
        <v>0</v>
      </c>
      <c r="O430" s="22">
        <f t="shared" si="131"/>
        <v>0</v>
      </c>
      <c r="P430" s="22">
        <f t="shared" si="131"/>
        <v>0</v>
      </c>
      <c r="Q430" s="22">
        <f t="shared" si="131"/>
        <v>0</v>
      </c>
      <c r="R430" s="22">
        <f t="shared" si="131"/>
        <v>0</v>
      </c>
      <c r="S430" s="22">
        <f t="shared" si="131"/>
        <v>0</v>
      </c>
      <c r="T430" s="22">
        <f t="shared" si="131"/>
        <v>0</v>
      </c>
      <c r="U430" s="22">
        <f t="shared" si="131"/>
        <v>0</v>
      </c>
      <c r="V430" s="22">
        <f>T545</f>
        <v>542041.96145349974</v>
      </c>
      <c r="X430" s="6"/>
      <c r="Y430" s="6" t="s">
        <v>39</v>
      </c>
      <c r="Z430" s="6"/>
      <c r="AA430" s="6"/>
      <c r="AB430" s="6"/>
      <c r="AC430" s="6" t="str">
        <f t="shared" si="114"/>
        <v>Newfoundland Power</v>
      </c>
      <c r="AD430" s="6"/>
      <c r="AE430" s="22">
        <f t="shared" ref="AE430:AF432" si="132">AE$320*AE366</f>
        <v>0</v>
      </c>
      <c r="AF430" s="22">
        <f t="shared" si="132"/>
        <v>0</v>
      </c>
      <c r="AG430" s="6"/>
      <c r="AH430" s="6"/>
      <c r="AI430" s="6"/>
    </row>
    <row r="431" spans="1:35" ht="16.5" x14ac:dyDescent="0.3">
      <c r="A431" s="28"/>
      <c r="B431" s="28"/>
      <c r="C431" s="26"/>
      <c r="D431" s="1">
        <f>MAX(D428:D430)+NoOne</f>
        <v>28</v>
      </c>
      <c r="E431" s="17" t="s">
        <v>227</v>
      </c>
      <c r="F431" s="22">
        <f>SUM(G431:AF431)</f>
        <v>2453757.8239908195</v>
      </c>
      <c r="G431" s="22">
        <f t="shared" si="131"/>
        <v>810558.08056143753</v>
      </c>
      <c r="H431" s="22">
        <f t="shared" si="131"/>
        <v>960992.77042688092</v>
      </c>
      <c r="I431" s="22">
        <f t="shared" si="131"/>
        <v>618603.04012483312</v>
      </c>
      <c r="J431" s="22">
        <f t="shared" si="131"/>
        <v>0</v>
      </c>
      <c r="K431" s="22">
        <f t="shared" si="131"/>
        <v>0</v>
      </c>
      <c r="L431" s="22">
        <f t="shared" si="131"/>
        <v>0</v>
      </c>
      <c r="M431" s="22">
        <f t="shared" si="131"/>
        <v>0</v>
      </c>
      <c r="N431" s="22">
        <f t="shared" si="131"/>
        <v>0</v>
      </c>
      <c r="O431" s="22">
        <f t="shared" si="131"/>
        <v>0</v>
      </c>
      <c r="P431" s="22">
        <f t="shared" si="131"/>
        <v>0</v>
      </c>
      <c r="Q431" s="22">
        <f t="shared" si="131"/>
        <v>0</v>
      </c>
      <c r="R431" s="22">
        <f t="shared" si="131"/>
        <v>0</v>
      </c>
      <c r="S431" s="22">
        <f t="shared" si="131"/>
        <v>0</v>
      </c>
      <c r="T431" s="22">
        <f t="shared" si="131"/>
        <v>0</v>
      </c>
      <c r="U431" s="22">
        <f t="shared" si="131"/>
        <v>0</v>
      </c>
      <c r="V431" s="22">
        <f>T553</f>
        <v>63603.932877667881</v>
      </c>
      <c r="X431" s="6"/>
      <c r="Y431" s="6"/>
      <c r="Z431" s="6"/>
      <c r="AA431" s="6"/>
      <c r="AB431" s="6"/>
      <c r="AC431" s="17" t="str">
        <f t="shared" si="114"/>
        <v>Industrial - Firm</v>
      </c>
      <c r="AD431" s="6"/>
      <c r="AE431" s="22">
        <f t="shared" si="132"/>
        <v>0</v>
      </c>
      <c r="AF431" s="22">
        <f t="shared" si="132"/>
        <v>0</v>
      </c>
      <c r="AG431" s="6"/>
      <c r="AH431" s="6"/>
      <c r="AI431" s="6"/>
    </row>
    <row r="432" spans="1:35" ht="16.5" x14ac:dyDescent="0.3">
      <c r="A432" s="28"/>
      <c r="B432" s="28"/>
      <c r="C432" s="26"/>
      <c r="D432" s="1">
        <f>MAX(D429:D431)+NoOne</f>
        <v>29</v>
      </c>
      <c r="E432" s="17" t="s">
        <v>229</v>
      </c>
      <c r="F432" s="22">
        <f>SUM(G432:AF432)</f>
        <v>0</v>
      </c>
      <c r="G432" s="22">
        <f t="shared" si="131"/>
        <v>0</v>
      </c>
      <c r="H432" s="22">
        <f t="shared" si="131"/>
        <v>0</v>
      </c>
      <c r="I432" s="22">
        <f t="shared" si="131"/>
        <v>0</v>
      </c>
      <c r="J432" s="22">
        <f t="shared" si="131"/>
        <v>0</v>
      </c>
      <c r="K432" s="22">
        <f t="shared" si="131"/>
        <v>0</v>
      </c>
      <c r="L432" s="22">
        <f t="shared" si="131"/>
        <v>0</v>
      </c>
      <c r="M432" s="22">
        <f t="shared" si="131"/>
        <v>0</v>
      </c>
      <c r="N432" s="22">
        <f t="shared" si="131"/>
        <v>0</v>
      </c>
      <c r="O432" s="22">
        <f t="shared" si="131"/>
        <v>0</v>
      </c>
      <c r="P432" s="22">
        <f t="shared" si="131"/>
        <v>0</v>
      </c>
      <c r="Q432" s="22">
        <f t="shared" si="131"/>
        <v>0</v>
      </c>
      <c r="R432" s="22">
        <f t="shared" si="131"/>
        <v>0</v>
      </c>
      <c r="S432" s="22">
        <f t="shared" si="131"/>
        <v>0</v>
      </c>
      <c r="T432" s="22">
        <f t="shared" si="131"/>
        <v>0</v>
      </c>
      <c r="U432" s="22">
        <f t="shared" si="131"/>
        <v>0</v>
      </c>
      <c r="V432" s="22">
        <f>V$320*V368</f>
        <v>0</v>
      </c>
      <c r="X432" s="6"/>
      <c r="Y432" s="6"/>
      <c r="Z432" s="6"/>
      <c r="AA432" s="6"/>
      <c r="AB432" s="6"/>
      <c r="AC432" s="17" t="str">
        <f t="shared" si="114"/>
        <v>Industrial - Non-Firm</v>
      </c>
      <c r="AD432" s="6"/>
      <c r="AE432" s="22">
        <f t="shared" si="132"/>
        <v>0</v>
      </c>
      <c r="AF432" s="22">
        <f t="shared" si="132"/>
        <v>0</v>
      </c>
      <c r="AG432" s="6"/>
      <c r="AH432" s="6"/>
      <c r="AI432" s="6"/>
    </row>
    <row r="433" spans="1:35" ht="16.5" x14ac:dyDescent="0.3">
      <c r="A433" s="28"/>
      <c r="B433" s="28"/>
      <c r="C433" s="26"/>
      <c r="D433" s="1"/>
      <c r="E433" s="20" t="s">
        <v>230</v>
      </c>
      <c r="F433" s="22"/>
      <c r="G433" s="22" t="s">
        <v>39</v>
      </c>
      <c r="H433" s="22" t="s">
        <v>39</v>
      </c>
      <c r="I433" s="22" t="s">
        <v>39</v>
      </c>
      <c r="J433" s="22" t="s">
        <v>39</v>
      </c>
      <c r="K433" s="22" t="s">
        <v>39</v>
      </c>
      <c r="L433" s="22" t="s">
        <v>39</v>
      </c>
      <c r="M433" s="22" t="s">
        <v>39</v>
      </c>
      <c r="N433" s="22" t="s">
        <v>39</v>
      </c>
      <c r="O433" s="22" t="s">
        <v>39</v>
      </c>
      <c r="P433" s="22" t="s">
        <v>39</v>
      </c>
      <c r="Q433" s="22" t="s">
        <v>39</v>
      </c>
      <c r="R433" s="22" t="s">
        <v>39</v>
      </c>
      <c r="S433" s="22" t="s">
        <v>39</v>
      </c>
      <c r="T433" s="22" t="s">
        <v>39</v>
      </c>
      <c r="U433" s="22" t="s">
        <v>39</v>
      </c>
      <c r="V433" s="22" t="s">
        <v>39</v>
      </c>
      <c r="X433" s="6"/>
      <c r="Y433" s="6"/>
      <c r="Z433" s="6"/>
      <c r="AA433" s="6"/>
      <c r="AB433" s="6"/>
      <c r="AC433" s="20" t="str">
        <f t="shared" si="114"/>
        <v>Rural</v>
      </c>
      <c r="AD433" s="6"/>
      <c r="AE433" s="22" t="s">
        <v>39</v>
      </c>
      <c r="AF433" s="22" t="s">
        <v>39</v>
      </c>
      <c r="AG433" s="6"/>
      <c r="AH433" s="6"/>
      <c r="AI433" s="6"/>
    </row>
    <row r="434" spans="1:35" ht="16.5" x14ac:dyDescent="0.3">
      <c r="A434" s="28"/>
      <c r="B434" s="28"/>
      <c r="C434" s="26"/>
      <c r="D434" s="1">
        <f t="shared" ref="D434:D443" si="133">MAX(D431:D433)+NoOne</f>
        <v>30</v>
      </c>
      <c r="E434" s="17" t="s">
        <v>232</v>
      </c>
      <c r="F434" s="22">
        <f t="shared" ref="F434:F441" si="134">SUM(G434:AF434)</f>
        <v>2513565.0069508143</v>
      </c>
      <c r="G434" s="22">
        <f t="shared" ref="G434:V441" si="135">G$320*G370</f>
        <v>326881.93529147818</v>
      </c>
      <c r="H434" s="22">
        <f t="shared" si="135"/>
        <v>185598.11853815088</v>
      </c>
      <c r="I434" s="22">
        <f t="shared" si="135"/>
        <v>249470.28940003342</v>
      </c>
      <c r="J434" s="22">
        <f t="shared" si="135"/>
        <v>374143.79130720824</v>
      </c>
      <c r="K434" s="22">
        <f t="shared" si="135"/>
        <v>439687.02567922429</v>
      </c>
      <c r="L434" s="22">
        <f t="shared" si="135"/>
        <v>391327.35474785115</v>
      </c>
      <c r="M434" s="22">
        <f t="shared" si="135"/>
        <v>158445.64288304374</v>
      </c>
      <c r="N434" s="22">
        <f t="shared" si="135"/>
        <v>39701.572695561234</v>
      </c>
      <c r="O434" s="22">
        <f t="shared" si="135"/>
        <v>99311.647263229228</v>
      </c>
      <c r="P434" s="22">
        <f t="shared" si="135"/>
        <v>56553.249963096481</v>
      </c>
      <c r="Q434" s="22">
        <f t="shared" si="135"/>
        <v>91336.958903541716</v>
      </c>
      <c r="R434" s="22">
        <f t="shared" si="135"/>
        <v>13770.252580514833</v>
      </c>
      <c r="S434" s="22">
        <f t="shared" si="135"/>
        <v>51699.631110117509</v>
      </c>
      <c r="T434" s="22">
        <f t="shared" si="135"/>
        <v>0</v>
      </c>
      <c r="U434" s="22">
        <f t="shared" si="135"/>
        <v>35637.53658776349</v>
      </c>
      <c r="V434" s="22">
        <f t="shared" si="135"/>
        <v>0</v>
      </c>
      <c r="X434" s="6"/>
      <c r="Y434" s="6"/>
      <c r="Z434" s="6"/>
      <c r="AA434" s="6"/>
      <c r="AB434" s="6"/>
      <c r="AC434" s="17" t="str">
        <f t="shared" si="114"/>
        <v>1.1 Domestic</v>
      </c>
      <c r="AD434" s="6"/>
      <c r="AE434" s="22">
        <f t="shared" ref="AE434:AF441" si="136">AE$320*AE370</f>
        <v>0</v>
      </c>
      <c r="AF434" s="22">
        <f t="shared" si="136"/>
        <v>0</v>
      </c>
      <c r="AG434" s="6"/>
      <c r="AH434" s="6"/>
      <c r="AI434" s="6"/>
    </row>
    <row r="435" spans="1:35" ht="16.5" x14ac:dyDescent="0.3">
      <c r="A435" s="28"/>
      <c r="B435" s="28"/>
      <c r="C435" s="26"/>
      <c r="D435" s="1">
        <f t="shared" si="133"/>
        <v>31</v>
      </c>
      <c r="E435" s="17" t="s">
        <v>234</v>
      </c>
      <c r="F435" s="22">
        <f t="shared" si="134"/>
        <v>2771053.2175783589</v>
      </c>
      <c r="G435" s="22">
        <f t="shared" si="135"/>
        <v>379412.95423676434</v>
      </c>
      <c r="H435" s="22">
        <f t="shared" si="135"/>
        <v>250223.96314583646</v>
      </c>
      <c r="I435" s="22">
        <f t="shared" si="135"/>
        <v>289560.99825818307</v>
      </c>
      <c r="J435" s="22">
        <f t="shared" si="135"/>
        <v>434269.94839170633</v>
      </c>
      <c r="K435" s="22">
        <f t="shared" si="135"/>
        <v>510346.19947344525</v>
      </c>
      <c r="L435" s="22">
        <f t="shared" si="135"/>
        <v>454214.967878683</v>
      </c>
      <c r="M435" s="22">
        <f t="shared" si="135"/>
        <v>120118.69998078</v>
      </c>
      <c r="N435" s="22">
        <f t="shared" si="135"/>
        <v>46081.748050214897</v>
      </c>
      <c r="O435" s="22">
        <f t="shared" si="135"/>
        <v>75288.823000417775</v>
      </c>
      <c r="P435" s="22">
        <f t="shared" si="135"/>
        <v>65641.54614740501</v>
      </c>
      <c r="Q435" s="22">
        <f t="shared" si="135"/>
        <v>69243.158499409052</v>
      </c>
      <c r="R435" s="22">
        <f t="shared" si="135"/>
        <v>10439.320440003306</v>
      </c>
      <c r="S435" s="22">
        <f t="shared" si="135"/>
        <v>39193.835598351987</v>
      </c>
      <c r="T435" s="22">
        <f t="shared" si="135"/>
        <v>0</v>
      </c>
      <c r="U435" s="22">
        <f t="shared" si="135"/>
        <v>27017.054477158748</v>
      </c>
      <c r="V435" s="22">
        <f t="shared" si="135"/>
        <v>0</v>
      </c>
      <c r="X435" s="6"/>
      <c r="Y435" s="6"/>
      <c r="Z435" s="6"/>
      <c r="AA435" s="6"/>
      <c r="AB435" s="6"/>
      <c r="AC435" s="17" t="str">
        <f t="shared" si="114"/>
        <v xml:space="preserve">1.12 Domestic All Electric </v>
      </c>
      <c r="AD435" s="6"/>
      <c r="AE435" s="22">
        <f t="shared" si="136"/>
        <v>0</v>
      </c>
      <c r="AF435" s="22">
        <f t="shared" si="136"/>
        <v>0</v>
      </c>
      <c r="AG435" s="6"/>
      <c r="AH435" s="6"/>
      <c r="AI435" s="6"/>
    </row>
    <row r="436" spans="1:35" ht="16.5" x14ac:dyDescent="0.3">
      <c r="A436" s="28"/>
      <c r="B436" s="28"/>
      <c r="C436" s="26"/>
      <c r="D436" s="1">
        <f t="shared" si="133"/>
        <v>32</v>
      </c>
      <c r="E436" s="17" t="s">
        <v>236</v>
      </c>
      <c r="F436" s="22">
        <f t="shared" si="134"/>
        <v>8180.6773125211594</v>
      </c>
      <c r="G436" s="22">
        <f t="shared" si="135"/>
        <v>1314.8407602515019</v>
      </c>
      <c r="H436" s="22">
        <f t="shared" si="135"/>
        <v>588.43822606307344</v>
      </c>
      <c r="I436" s="22">
        <f t="shared" si="135"/>
        <v>1003.4623194530917</v>
      </c>
      <c r="J436" s="22">
        <f t="shared" si="135"/>
        <v>1504.9455289326106</v>
      </c>
      <c r="K436" s="22">
        <f t="shared" si="135"/>
        <v>1768.5848029542808</v>
      </c>
      <c r="L436" s="22">
        <f t="shared" si="135"/>
        <v>1574.0642142401307</v>
      </c>
      <c r="M436" s="22">
        <f t="shared" si="135"/>
        <v>13.785195737415501</v>
      </c>
      <c r="N436" s="22">
        <f t="shared" si="135"/>
        <v>159.69449636201077</v>
      </c>
      <c r="O436" s="22">
        <f t="shared" si="135"/>
        <v>8.6403795750907832</v>
      </c>
      <c r="P436" s="22">
        <f t="shared" si="135"/>
        <v>227.47821200295473</v>
      </c>
      <c r="Q436" s="22">
        <f t="shared" si="135"/>
        <v>7.9465603069627999</v>
      </c>
      <c r="R436" s="22">
        <f t="shared" si="135"/>
        <v>1.1980488937532174</v>
      </c>
      <c r="S436" s="22">
        <f t="shared" si="135"/>
        <v>4.4980065178012865</v>
      </c>
      <c r="T436" s="22">
        <f t="shared" si="135"/>
        <v>0</v>
      </c>
      <c r="U436" s="22">
        <f t="shared" si="135"/>
        <v>3.1005612304798831</v>
      </c>
      <c r="V436" s="22">
        <f t="shared" si="135"/>
        <v>0</v>
      </c>
      <c r="X436" s="6"/>
      <c r="Y436" s="6"/>
      <c r="Z436" s="6"/>
      <c r="AA436" s="6"/>
      <c r="AB436" s="6"/>
      <c r="AC436" s="17" t="str">
        <f t="shared" si="114"/>
        <v>1.3 Special</v>
      </c>
      <c r="AD436" s="6"/>
      <c r="AE436" s="22">
        <f t="shared" si="136"/>
        <v>0</v>
      </c>
      <c r="AF436" s="22">
        <f t="shared" si="136"/>
        <v>0</v>
      </c>
      <c r="AG436" s="6"/>
      <c r="AH436" s="6"/>
      <c r="AI436" s="6"/>
    </row>
    <row r="437" spans="1:35" ht="16.5" x14ac:dyDescent="0.3">
      <c r="A437" s="28"/>
      <c r="B437" s="28"/>
      <c r="C437" s="26"/>
      <c r="D437" s="1">
        <f t="shared" si="133"/>
        <v>33</v>
      </c>
      <c r="E437" s="17" t="s">
        <v>238</v>
      </c>
      <c r="F437" s="22">
        <f t="shared" si="134"/>
        <v>1173110.7706288479</v>
      </c>
      <c r="G437" s="22">
        <f t="shared" si="135"/>
        <v>150480.39443754576</v>
      </c>
      <c r="H437" s="22">
        <f t="shared" si="135"/>
        <v>124232.36256948173</v>
      </c>
      <c r="I437" s="22">
        <f t="shared" si="135"/>
        <v>114843.87326540766</v>
      </c>
      <c r="J437" s="22">
        <f t="shared" si="135"/>
        <v>172237.43258269699</v>
      </c>
      <c r="K437" s="22">
        <f t="shared" si="135"/>
        <v>202410.31978191994</v>
      </c>
      <c r="L437" s="22">
        <f t="shared" si="135"/>
        <v>180147.90154784429</v>
      </c>
      <c r="M437" s="22">
        <f t="shared" si="135"/>
        <v>41927.672835349244</v>
      </c>
      <c r="N437" s="22">
        <f t="shared" si="135"/>
        <v>18276.654883640796</v>
      </c>
      <c r="O437" s="22">
        <f t="shared" si="135"/>
        <v>26279.714477638616</v>
      </c>
      <c r="P437" s="22">
        <f t="shared" si="135"/>
        <v>26034.339748947685</v>
      </c>
      <c r="Q437" s="22">
        <f t="shared" si="135"/>
        <v>24169.463173627355</v>
      </c>
      <c r="R437" s="22">
        <f t="shared" si="135"/>
        <v>17381.695591450745</v>
      </c>
      <c r="S437" s="22">
        <f t="shared" si="135"/>
        <v>65258.588750792689</v>
      </c>
      <c r="T437" s="22">
        <f t="shared" si="135"/>
        <v>0</v>
      </c>
      <c r="U437" s="22">
        <f t="shared" si="135"/>
        <v>9430.3569825045652</v>
      </c>
      <c r="V437" s="22">
        <f t="shared" si="135"/>
        <v>0</v>
      </c>
      <c r="X437" s="6"/>
      <c r="Y437" s="6"/>
      <c r="Z437" s="6"/>
      <c r="AA437" s="6"/>
      <c r="AB437" s="6"/>
      <c r="AC437" s="17" t="str">
        <f t="shared" si="114"/>
        <v>2.1 GS 0-10 kW</v>
      </c>
      <c r="AD437" s="6"/>
      <c r="AE437" s="22">
        <f t="shared" si="136"/>
        <v>0</v>
      </c>
      <c r="AF437" s="22">
        <f t="shared" si="136"/>
        <v>0</v>
      </c>
      <c r="AG437" s="6"/>
      <c r="AH437" s="6"/>
      <c r="AI437" s="6"/>
    </row>
    <row r="438" spans="1:35" ht="16.5" x14ac:dyDescent="0.3">
      <c r="A438" s="28"/>
      <c r="B438" s="28"/>
      <c r="C438" s="26"/>
      <c r="D438" s="1">
        <f t="shared" si="133"/>
        <v>34</v>
      </c>
      <c r="E438" s="17" t="s">
        <v>240</v>
      </c>
      <c r="F438" s="22">
        <f t="shared" si="134"/>
        <v>0</v>
      </c>
      <c r="G438" s="22">
        <f t="shared" si="135"/>
        <v>0</v>
      </c>
      <c r="H438" s="22">
        <f t="shared" si="135"/>
        <v>0</v>
      </c>
      <c r="I438" s="22">
        <f t="shared" si="135"/>
        <v>0</v>
      </c>
      <c r="J438" s="22">
        <f t="shared" si="135"/>
        <v>0</v>
      </c>
      <c r="K438" s="22">
        <f t="shared" si="135"/>
        <v>0</v>
      </c>
      <c r="L438" s="22">
        <f t="shared" si="135"/>
        <v>0</v>
      </c>
      <c r="M438" s="22">
        <f t="shared" si="135"/>
        <v>0</v>
      </c>
      <c r="N438" s="22">
        <f t="shared" si="135"/>
        <v>0</v>
      </c>
      <c r="O438" s="22">
        <f t="shared" si="135"/>
        <v>0</v>
      </c>
      <c r="P438" s="22">
        <f t="shared" si="135"/>
        <v>0</v>
      </c>
      <c r="Q438" s="22">
        <f t="shared" si="135"/>
        <v>0</v>
      </c>
      <c r="R438" s="22">
        <f t="shared" si="135"/>
        <v>0</v>
      </c>
      <c r="S438" s="22">
        <f t="shared" si="135"/>
        <v>0</v>
      </c>
      <c r="T438" s="22">
        <f t="shared" si="135"/>
        <v>0</v>
      </c>
      <c r="U438" s="22">
        <f t="shared" si="135"/>
        <v>0</v>
      </c>
      <c r="V438" s="22">
        <f t="shared" si="135"/>
        <v>0</v>
      </c>
      <c r="X438" s="6"/>
      <c r="Y438" s="6"/>
      <c r="Z438" s="6"/>
      <c r="AA438" s="6"/>
      <c r="AB438" s="6"/>
      <c r="AC438" s="17" t="str">
        <f t="shared" si="114"/>
        <v>2.2 GS 10-100 kW</v>
      </c>
      <c r="AD438" s="6"/>
      <c r="AE438" s="22">
        <f t="shared" si="136"/>
        <v>0</v>
      </c>
      <c r="AF438" s="22">
        <f t="shared" si="136"/>
        <v>0</v>
      </c>
      <c r="AG438" s="6"/>
      <c r="AH438" s="6"/>
      <c r="AI438" s="6"/>
    </row>
    <row r="439" spans="1:35" ht="16.5" x14ac:dyDescent="0.3">
      <c r="A439" s="28"/>
      <c r="B439" s="28"/>
      <c r="C439" s="26"/>
      <c r="D439" s="1">
        <f t="shared" si="133"/>
        <v>35</v>
      </c>
      <c r="E439" s="17" t="s">
        <v>242</v>
      </c>
      <c r="F439" s="22">
        <f t="shared" si="134"/>
        <v>668804.58866928529</v>
      </c>
      <c r="G439" s="22">
        <f t="shared" si="135"/>
        <v>99510.666058500501</v>
      </c>
      <c r="H439" s="22">
        <f t="shared" si="135"/>
        <v>92499.607683289243</v>
      </c>
      <c r="I439" s="22">
        <f t="shared" si="135"/>
        <v>75944.712692269066</v>
      </c>
      <c r="J439" s="22">
        <f t="shared" si="135"/>
        <v>113898.30350041836</v>
      </c>
      <c r="K439" s="22">
        <f t="shared" si="135"/>
        <v>133851.22901822612</v>
      </c>
      <c r="L439" s="22">
        <f t="shared" si="135"/>
        <v>119129.39050347384</v>
      </c>
      <c r="M439" s="22">
        <f t="shared" si="135"/>
        <v>1151.0638440741943</v>
      </c>
      <c r="N439" s="22">
        <f t="shared" si="135"/>
        <v>11207.14240267001</v>
      </c>
      <c r="O439" s="22">
        <f t="shared" si="135"/>
        <v>721.4716945200804</v>
      </c>
      <c r="P439" s="22">
        <f t="shared" si="135"/>
        <v>15964.111309400994</v>
      </c>
      <c r="Q439" s="22">
        <f t="shared" si="135"/>
        <v>663.53778563139372</v>
      </c>
      <c r="R439" s="22">
        <f t="shared" si="135"/>
        <v>842.25537015840086</v>
      </c>
      <c r="S439" s="22">
        <f t="shared" si="135"/>
        <v>3162.199943908131</v>
      </c>
      <c r="T439" s="22">
        <f t="shared" si="135"/>
        <v>0</v>
      </c>
      <c r="U439" s="22">
        <f t="shared" si="135"/>
        <v>258.89686274507022</v>
      </c>
      <c r="V439" s="22">
        <f t="shared" si="135"/>
        <v>0</v>
      </c>
      <c r="X439" s="6"/>
      <c r="Y439" s="6"/>
      <c r="Z439" s="6"/>
      <c r="AA439" s="6"/>
      <c r="AB439" s="6"/>
      <c r="AC439" s="17" t="str">
        <f t="shared" si="114"/>
        <v>2.3 GS 110-1,000 kVa</v>
      </c>
      <c r="AD439" s="6"/>
      <c r="AE439" s="22">
        <f t="shared" si="136"/>
        <v>0</v>
      </c>
      <c r="AF439" s="22">
        <f t="shared" si="136"/>
        <v>0</v>
      </c>
      <c r="AG439" s="6"/>
      <c r="AH439" s="6"/>
      <c r="AI439" s="6"/>
    </row>
    <row r="440" spans="1:35" ht="16.5" x14ac:dyDescent="0.3">
      <c r="A440" s="28"/>
      <c r="B440" s="28"/>
      <c r="C440" s="26"/>
      <c r="D440" s="1">
        <f t="shared" si="133"/>
        <v>36</v>
      </c>
      <c r="E440" s="17" t="s">
        <v>244</v>
      </c>
      <c r="F440" s="22">
        <f t="shared" si="134"/>
        <v>390864.68219734507</v>
      </c>
      <c r="G440" s="22">
        <f t="shared" si="135"/>
        <v>58090.271158996977</v>
      </c>
      <c r="H440" s="22">
        <f t="shared" si="135"/>
        <v>66560.6255907749</v>
      </c>
      <c r="I440" s="22">
        <f t="shared" si="135"/>
        <v>44333.428044713342</v>
      </c>
      <c r="J440" s="22">
        <f t="shared" si="135"/>
        <v>66489.187510808013</v>
      </c>
      <c r="K440" s="22">
        <f t="shared" si="135"/>
        <v>78136.892220806898</v>
      </c>
      <c r="L440" s="22">
        <f t="shared" si="135"/>
        <v>69542.882903472302</v>
      </c>
      <c r="M440" s="22">
        <f t="shared" si="135"/>
        <v>110.28156589932401</v>
      </c>
      <c r="N440" s="22">
        <f t="shared" si="135"/>
        <v>2911.9707638274954</v>
      </c>
      <c r="O440" s="22">
        <f t="shared" si="135"/>
        <v>69.123036600726266</v>
      </c>
      <c r="P440" s="22">
        <f t="shared" si="135"/>
        <v>4147.9820397738868</v>
      </c>
      <c r="Q440" s="22">
        <f t="shared" si="135"/>
        <v>63.572482455702399</v>
      </c>
      <c r="R440" s="22">
        <f t="shared" si="135"/>
        <v>80.695125284637214</v>
      </c>
      <c r="S440" s="22">
        <f t="shared" si="135"/>
        <v>302.96526408700657</v>
      </c>
      <c r="T440" s="22">
        <f t="shared" si="135"/>
        <v>0</v>
      </c>
      <c r="U440" s="22">
        <f t="shared" si="135"/>
        <v>24.804489843839065</v>
      </c>
      <c r="V440" s="22">
        <f t="shared" si="135"/>
        <v>0</v>
      </c>
      <c r="X440" s="6"/>
      <c r="Y440" s="6"/>
      <c r="Z440" s="6"/>
      <c r="AA440" s="6"/>
      <c r="AB440" s="6"/>
      <c r="AC440" s="17" t="str">
        <f t="shared" si="114"/>
        <v>2.4 GS Over 1,000 kVa</v>
      </c>
      <c r="AD440" s="6"/>
      <c r="AE440" s="22">
        <f t="shared" si="136"/>
        <v>0</v>
      </c>
      <c r="AF440" s="22">
        <f t="shared" si="136"/>
        <v>0</v>
      </c>
      <c r="AG440" s="6"/>
      <c r="AH440" s="6"/>
      <c r="AI440" s="6"/>
    </row>
    <row r="441" spans="1:35" ht="16.5" x14ac:dyDescent="0.3">
      <c r="A441" s="28"/>
      <c r="B441" s="28"/>
      <c r="C441" s="26"/>
      <c r="D441" s="1">
        <f t="shared" si="133"/>
        <v>37</v>
      </c>
      <c r="E441" s="17" t="s">
        <v>246</v>
      </c>
      <c r="F441" s="34">
        <f t="shared" si="134"/>
        <v>124978.98910899211</v>
      </c>
      <c r="G441" s="22">
        <f t="shared" si="135"/>
        <v>6225.9838986179639</v>
      </c>
      <c r="H441" s="22">
        <f t="shared" si="135"/>
        <v>3542.2621285616133</v>
      </c>
      <c r="I441" s="22">
        <f t="shared" si="135"/>
        <v>4751.556563085067</v>
      </c>
      <c r="J441" s="22">
        <f t="shared" si="135"/>
        <v>7126.1607600598591</v>
      </c>
      <c r="K441" s="22">
        <f t="shared" si="135"/>
        <v>8374.5354109858599</v>
      </c>
      <c r="L441" s="22">
        <f t="shared" si="135"/>
        <v>7453.4489266785667</v>
      </c>
      <c r="M441" s="22">
        <f t="shared" si="135"/>
        <v>14564.059296579475</v>
      </c>
      <c r="N441" s="22">
        <f t="shared" si="135"/>
        <v>756.17929798404134</v>
      </c>
      <c r="O441" s="22">
        <f t="shared" si="135"/>
        <v>9128.5610210834111</v>
      </c>
      <c r="P441" s="22">
        <f t="shared" si="135"/>
        <v>1077.1461670734145</v>
      </c>
      <c r="Q441" s="22">
        <f t="shared" si="135"/>
        <v>8395.5409643061976</v>
      </c>
      <c r="R441" s="22">
        <f t="shared" si="135"/>
        <v>0</v>
      </c>
      <c r="S441" s="22">
        <f t="shared" si="135"/>
        <v>0</v>
      </c>
      <c r="T441" s="22">
        <f t="shared" si="135"/>
        <v>50307.81173397466</v>
      </c>
      <c r="U441" s="22">
        <f t="shared" si="135"/>
        <v>3275.7429400019964</v>
      </c>
      <c r="V441" s="22">
        <f t="shared" si="135"/>
        <v>0</v>
      </c>
      <c r="X441" s="6"/>
      <c r="Y441" s="6"/>
      <c r="Z441" s="6"/>
      <c r="AA441" s="6"/>
      <c r="AB441" s="6"/>
      <c r="AC441" s="17" t="str">
        <f t="shared" si="114"/>
        <v>4.1 Street and Area Lighting</v>
      </c>
      <c r="AD441" s="6"/>
      <c r="AE441" s="22">
        <f t="shared" si="136"/>
        <v>0</v>
      </c>
      <c r="AF441" s="22">
        <f t="shared" si="136"/>
        <v>0</v>
      </c>
      <c r="AG441" s="6"/>
      <c r="AH441" s="6"/>
      <c r="AI441" s="6"/>
    </row>
    <row r="442" spans="1:35" ht="16.5" x14ac:dyDescent="0.3">
      <c r="A442" s="28"/>
      <c r="B442" s="28"/>
      <c r="C442" s="26"/>
      <c r="D442" s="1">
        <f t="shared" si="133"/>
        <v>38</v>
      </c>
      <c r="E442" s="20" t="s">
        <v>247</v>
      </c>
      <c r="F442" s="30">
        <f>SUM(F434:F441)</f>
        <v>7650557.932446165</v>
      </c>
      <c r="G442" s="30">
        <f>SUM(G434:G441)</f>
        <v>1021917.0458421552</v>
      </c>
      <c r="H442" s="30">
        <f>SUM(H434:H441)</f>
        <v>723245.37788215792</v>
      </c>
      <c r="I442" s="30">
        <f>SUM(I434:I441)</f>
        <v>779908.32054314471</v>
      </c>
      <c r="J442" s="30">
        <f t="shared" ref="J442:V442" si="137">SUM(J434:J441)</f>
        <v>1169669.7695818306</v>
      </c>
      <c r="K442" s="30">
        <f t="shared" si="137"/>
        <v>1374574.7863875623</v>
      </c>
      <c r="L442" s="30">
        <f t="shared" si="137"/>
        <v>1223390.0107222435</v>
      </c>
      <c r="M442" s="30">
        <f t="shared" si="137"/>
        <v>336331.20560146339</v>
      </c>
      <c r="N442" s="30">
        <f t="shared" si="137"/>
        <v>119094.96259026049</v>
      </c>
      <c r="O442" s="30">
        <f t="shared" si="137"/>
        <v>210807.98087306495</v>
      </c>
      <c r="P442" s="30">
        <f t="shared" si="137"/>
        <v>169645.85358770043</v>
      </c>
      <c r="Q442" s="30">
        <f t="shared" si="137"/>
        <v>193880.17836927838</v>
      </c>
      <c r="R442" s="30">
        <f t="shared" si="137"/>
        <v>42515.417156305673</v>
      </c>
      <c r="S442" s="30">
        <f t="shared" si="137"/>
        <v>159621.71867377515</v>
      </c>
      <c r="T442" s="30">
        <f t="shared" si="137"/>
        <v>50307.81173397466</v>
      </c>
      <c r="U442" s="30">
        <f t="shared" si="137"/>
        <v>75647.492901248173</v>
      </c>
      <c r="V442" s="30">
        <f t="shared" si="137"/>
        <v>0</v>
      </c>
      <c r="X442" s="6"/>
      <c r="Y442" s="6"/>
      <c r="Z442" s="6"/>
      <c r="AA442" s="6"/>
      <c r="AB442" s="6"/>
      <c r="AC442" s="20" t="str">
        <f t="shared" si="114"/>
        <v xml:space="preserve">    Subtotal Rural</v>
      </c>
      <c r="AD442" s="6"/>
      <c r="AE442" s="30">
        <f>SUM(AE434:AE441)</f>
        <v>0</v>
      </c>
      <c r="AF442" s="30">
        <f>SUM(AF434:AF441)</f>
        <v>0</v>
      </c>
      <c r="AG442" s="6"/>
      <c r="AH442" s="6"/>
      <c r="AI442" s="6"/>
    </row>
    <row r="443" spans="1:35" ht="17.25" thickBot="1" x14ac:dyDescent="0.35">
      <c r="A443" s="28"/>
      <c r="B443" s="28"/>
      <c r="C443" s="26"/>
      <c r="D443" s="1">
        <f t="shared" si="133"/>
        <v>39</v>
      </c>
      <c r="E443" s="20" t="s">
        <v>248</v>
      </c>
      <c r="F443" s="55">
        <f>SUM(F442,F430:F432)</f>
        <v>45826259.705769487</v>
      </c>
      <c r="G443" s="55">
        <f>SUM(G442,G430:G432)</f>
        <v>16272184.600654272</v>
      </c>
      <c r="H443" s="55">
        <f>SUM(H442,H430:H432)</f>
        <v>11107518.047789916</v>
      </c>
      <c r="I443" s="55">
        <f>SUM(I442,I430:I432)</f>
        <v>12715423.974815421</v>
      </c>
      <c r="J443" s="55">
        <f t="shared" ref="J443:V443" si="138">SUM(J442,J430:J432)</f>
        <v>1169669.7695818306</v>
      </c>
      <c r="K443" s="55">
        <f t="shared" si="138"/>
        <v>1374574.7863875623</v>
      </c>
      <c r="L443" s="55">
        <f t="shared" si="138"/>
        <v>1223390.0107222435</v>
      </c>
      <c r="M443" s="55">
        <f t="shared" si="138"/>
        <v>336331.20560146339</v>
      </c>
      <c r="N443" s="55">
        <f t="shared" si="138"/>
        <v>119094.96259026049</v>
      </c>
      <c r="O443" s="55">
        <f t="shared" si="138"/>
        <v>210807.98087306495</v>
      </c>
      <c r="P443" s="55">
        <f t="shared" si="138"/>
        <v>169645.85358770043</v>
      </c>
      <c r="Q443" s="55">
        <f t="shared" si="138"/>
        <v>193880.17836927838</v>
      </c>
      <c r="R443" s="55">
        <f t="shared" si="138"/>
        <v>42515.417156305673</v>
      </c>
      <c r="S443" s="55">
        <f t="shared" si="138"/>
        <v>159621.71867377515</v>
      </c>
      <c r="T443" s="55">
        <f t="shared" si="138"/>
        <v>50307.81173397466</v>
      </c>
      <c r="U443" s="55">
        <f t="shared" si="138"/>
        <v>75647.492901248173</v>
      </c>
      <c r="V443" s="55">
        <f t="shared" si="138"/>
        <v>605645.89433116757</v>
      </c>
      <c r="X443" s="6"/>
      <c r="Y443" s="6"/>
      <c r="Z443" s="6"/>
      <c r="AA443" s="6"/>
      <c r="AB443" s="6"/>
      <c r="AC443" s="20" t="str">
        <f t="shared" si="114"/>
        <v xml:space="preserve">      Total</v>
      </c>
      <c r="AD443" s="6"/>
      <c r="AE443" s="55">
        <f>SUM(AE442,AE430:AE432)</f>
        <v>0</v>
      </c>
      <c r="AF443" s="55">
        <f>SUM(AF442,AF430:AF432)</f>
        <v>0</v>
      </c>
      <c r="AG443" s="6"/>
      <c r="AH443" s="6"/>
      <c r="AI443" s="6"/>
    </row>
    <row r="444" spans="1:35" ht="17.25" thickTop="1" x14ac:dyDescent="0.3">
      <c r="A444" s="28"/>
      <c r="B444" s="28"/>
      <c r="C444" s="26"/>
      <c r="D444" s="1"/>
      <c r="E444" s="20"/>
      <c r="F444" s="64"/>
      <c r="G444" s="64"/>
      <c r="H444" s="64"/>
      <c r="I444" s="64"/>
      <c r="J444" s="64"/>
      <c r="K444" s="64"/>
      <c r="L444" s="64"/>
      <c r="M444" s="64"/>
      <c r="N444" s="64"/>
      <c r="O444" s="64"/>
      <c r="P444" s="64"/>
      <c r="Q444" s="64"/>
      <c r="R444" s="64"/>
      <c r="S444" s="64"/>
      <c r="T444" s="64"/>
      <c r="U444" s="64"/>
      <c r="V444" s="64"/>
      <c r="X444" s="6"/>
      <c r="Y444" s="6"/>
      <c r="Z444" s="1"/>
      <c r="AA444" s="6"/>
      <c r="AB444" s="6"/>
      <c r="AC444" s="20"/>
      <c r="AD444" s="6"/>
      <c r="AE444" s="64"/>
      <c r="AF444" s="64"/>
      <c r="AG444" s="6"/>
      <c r="AH444" s="6"/>
      <c r="AI444" s="6"/>
    </row>
    <row r="445" spans="1:35" ht="16.5" x14ac:dyDescent="0.3">
      <c r="A445" s="28"/>
      <c r="B445" s="28"/>
      <c r="C445" s="26"/>
      <c r="D445" s="1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7" t="s">
        <v>493</v>
      </c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42" t="str">
        <f>+V445</f>
        <v>Schedule G 3.2A</v>
      </c>
    </row>
    <row r="446" spans="1:35" ht="16.5" x14ac:dyDescent="0.3">
      <c r="A446" s="28"/>
      <c r="B446" s="28"/>
      <c r="C446" s="26"/>
      <c r="D446" s="1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7" t="s">
        <v>257</v>
      </c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 t="s">
        <v>258</v>
      </c>
    </row>
    <row r="447" spans="1:35" ht="16.5" x14ac:dyDescent="0.3">
      <c r="A447" s="28"/>
      <c r="B447" s="28"/>
      <c r="C447" s="26"/>
      <c r="D447" s="8" t="str">
        <f>$D$5</f>
        <v>NEWFOUNDLAND AND LABRADOR HYDRO</v>
      </c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X447" s="6"/>
      <c r="Y447" s="6"/>
      <c r="Z447" s="6"/>
      <c r="AA447" s="9" t="s">
        <v>6</v>
      </c>
      <c r="AB447" s="9"/>
      <c r="AC447" s="10"/>
      <c r="AD447" s="9"/>
      <c r="AE447" s="9"/>
      <c r="AF447" s="9"/>
      <c r="AG447" s="9"/>
      <c r="AH447" s="11"/>
      <c r="AI447" s="11"/>
    </row>
    <row r="448" spans="1:35" ht="16.5" x14ac:dyDescent="0.3">
      <c r="A448" s="28"/>
      <c r="B448" s="28"/>
      <c r="C448" s="26"/>
      <c r="D448" s="8" t="str">
        <f>$D$6</f>
        <v>2027 Test Year Cost of Service Study (No Rate Mitigation)</v>
      </c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X448" s="6"/>
      <c r="Y448" s="6"/>
      <c r="Z448" s="6"/>
      <c r="AA448" s="9" t="str">
        <f>RunName</f>
        <v>2027 Test Year Cost of Service Study (No Rate Mitigation)</v>
      </c>
      <c r="AB448" s="9"/>
      <c r="AC448" s="10"/>
      <c r="AD448" s="9"/>
      <c r="AE448" s="9"/>
      <c r="AF448" s="9"/>
      <c r="AG448" s="9"/>
      <c r="AH448" s="11"/>
      <c r="AI448" s="11"/>
    </row>
    <row r="449" spans="1:35" ht="16.5" x14ac:dyDescent="0.3">
      <c r="A449" s="28"/>
      <c r="B449" s="28"/>
      <c r="C449" s="26"/>
      <c r="D449" s="8" t="str">
        <f>$B$1</f>
        <v>Island Interconnected</v>
      </c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X449" s="6"/>
      <c r="Y449" s="6"/>
      <c r="Z449" s="6"/>
      <c r="AA449" s="9" t="str">
        <f>$B$1</f>
        <v>Island Interconnected</v>
      </c>
      <c r="AB449" s="9"/>
      <c r="AC449" s="10"/>
      <c r="AD449" s="9"/>
      <c r="AE449" s="9"/>
      <c r="AF449" s="9"/>
      <c r="AG449" s="9"/>
      <c r="AH449" s="11"/>
      <c r="AI449" s="11"/>
    </row>
    <row r="450" spans="1:35" ht="16.5" x14ac:dyDescent="0.3">
      <c r="A450" s="28"/>
      <c r="B450" s="28"/>
      <c r="C450" s="26"/>
      <c r="D450" s="8" t="s">
        <v>259</v>
      </c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X450" s="6"/>
      <c r="Y450" s="6"/>
      <c r="Z450" s="6"/>
      <c r="AA450" s="9" t="str">
        <f>+D450</f>
        <v>Allocation of Functionalized Amounts to Classes of Service (CONT'D.)</v>
      </c>
      <c r="AB450" s="9"/>
      <c r="AC450" s="10"/>
      <c r="AD450" s="9"/>
      <c r="AE450" s="9"/>
      <c r="AF450" s="9"/>
      <c r="AG450" s="9"/>
      <c r="AH450" s="11"/>
      <c r="AI450" s="11"/>
    </row>
    <row r="451" spans="1:35" ht="15" customHeight="1" x14ac:dyDescent="0.3">
      <c r="A451" s="28"/>
      <c r="B451" s="28"/>
      <c r="C451" s="26"/>
      <c r="D451" s="8"/>
      <c r="E451" s="1">
        <f t="shared" ref="E451:V451" si="139">MAX(D451)+NoOne</f>
        <v>1</v>
      </c>
      <c r="F451" s="1">
        <f t="shared" si="139"/>
        <v>2</v>
      </c>
      <c r="G451" s="1">
        <f t="shared" si="139"/>
        <v>3</v>
      </c>
      <c r="H451" s="1">
        <f t="shared" si="139"/>
        <v>4</v>
      </c>
      <c r="I451" s="1">
        <f t="shared" si="139"/>
        <v>5</v>
      </c>
      <c r="J451" s="1">
        <f t="shared" si="139"/>
        <v>6</v>
      </c>
      <c r="K451" s="1">
        <f t="shared" si="139"/>
        <v>7</v>
      </c>
      <c r="L451" s="1">
        <f t="shared" si="139"/>
        <v>8</v>
      </c>
      <c r="M451" s="1">
        <f t="shared" si="139"/>
        <v>9</v>
      </c>
      <c r="N451" s="1">
        <f t="shared" si="139"/>
        <v>10</v>
      </c>
      <c r="O451" s="1">
        <f t="shared" si="139"/>
        <v>11</v>
      </c>
      <c r="P451" s="1">
        <f t="shared" si="139"/>
        <v>12</v>
      </c>
      <c r="Q451" s="1">
        <f t="shared" si="139"/>
        <v>13</v>
      </c>
      <c r="R451" s="1">
        <f t="shared" si="139"/>
        <v>14</v>
      </c>
      <c r="S451" s="1">
        <f t="shared" si="139"/>
        <v>15</v>
      </c>
      <c r="T451" s="1">
        <f t="shared" si="139"/>
        <v>16</v>
      </c>
      <c r="U451" s="1">
        <f t="shared" si="139"/>
        <v>17</v>
      </c>
      <c r="V451" s="1">
        <f t="shared" si="139"/>
        <v>18</v>
      </c>
      <c r="X451" s="108"/>
      <c r="Y451" s="108"/>
      <c r="Z451" s="108"/>
      <c r="AA451" s="108"/>
      <c r="AB451" s="108"/>
      <c r="AC451" s="1">
        <f>MAX(AB451)+NoOne</f>
        <v>1</v>
      </c>
      <c r="AD451" s="13"/>
      <c r="AE451" s="1">
        <f>MAX(V451)+NoOne</f>
        <v>19</v>
      </c>
      <c r="AF451" s="1">
        <f>MAX(AE451)+NoOne</f>
        <v>20</v>
      </c>
      <c r="AG451" s="6"/>
      <c r="AH451" s="6"/>
      <c r="AI451" s="6"/>
    </row>
    <row r="452" spans="1:35" ht="16.5" x14ac:dyDescent="0.3">
      <c r="A452" s="28"/>
      <c r="B452" s="28"/>
      <c r="C452" s="26"/>
      <c r="D452" s="1"/>
      <c r="E452" s="13"/>
      <c r="F452" s="13"/>
      <c r="G452" s="13"/>
      <c r="H452" s="13"/>
      <c r="I452" s="13"/>
      <c r="J452" s="13" t="s">
        <v>8</v>
      </c>
      <c r="K452" s="14" t="s">
        <v>9</v>
      </c>
      <c r="L452" s="14"/>
      <c r="M452" s="14"/>
      <c r="N452" s="14"/>
      <c r="O452" s="14"/>
      <c r="P452" s="14"/>
      <c r="Q452" s="14"/>
      <c r="R452" s="14"/>
      <c r="S452" s="14"/>
      <c r="T452" s="14"/>
      <c r="U452" s="6"/>
      <c r="V452" s="13" t="s">
        <v>10</v>
      </c>
      <c r="X452" s="6"/>
      <c r="Y452" s="6"/>
      <c r="Z452" s="6"/>
      <c r="AA452" s="13"/>
      <c r="AB452" s="13"/>
      <c r="AC452" s="12"/>
      <c r="AD452" s="12"/>
      <c r="AE452" s="78" t="s">
        <v>135</v>
      </c>
      <c r="AF452" s="66"/>
      <c r="AG452" s="13"/>
      <c r="AH452" s="13"/>
      <c r="AI452" s="13"/>
    </row>
    <row r="453" spans="1:35" ht="16.5" x14ac:dyDescent="0.3">
      <c r="A453" s="28"/>
      <c r="B453" s="28"/>
      <c r="C453" s="26"/>
      <c r="D453" s="1" t="s">
        <v>14</v>
      </c>
      <c r="E453" s="13"/>
      <c r="F453" s="13" t="s">
        <v>15</v>
      </c>
      <c r="G453" s="13" t="s">
        <v>16</v>
      </c>
      <c r="H453" s="13" t="s">
        <v>16</v>
      </c>
      <c r="I453" s="13" t="s">
        <v>17</v>
      </c>
      <c r="J453" s="13" t="s">
        <v>17</v>
      </c>
      <c r="K453" s="13" t="s">
        <v>18</v>
      </c>
      <c r="L453" s="14" t="s">
        <v>19</v>
      </c>
      <c r="M453" s="14"/>
      <c r="N453" s="14" t="s">
        <v>20</v>
      </c>
      <c r="O453" s="14"/>
      <c r="P453" s="14" t="s">
        <v>21</v>
      </c>
      <c r="Q453" s="14"/>
      <c r="R453" s="48" t="s">
        <v>22</v>
      </c>
      <c r="S453" s="48" t="s">
        <v>23</v>
      </c>
      <c r="T453" s="49" t="s">
        <v>24</v>
      </c>
      <c r="U453" s="48" t="s">
        <v>25</v>
      </c>
      <c r="V453" s="13" t="s">
        <v>26</v>
      </c>
      <c r="X453" s="6"/>
      <c r="Y453" s="6"/>
      <c r="Z453" s="6"/>
      <c r="AA453" s="6"/>
      <c r="AB453" s="6"/>
      <c r="AC453" s="13"/>
      <c r="AD453" s="13"/>
      <c r="AE453" s="13" t="s">
        <v>136</v>
      </c>
      <c r="AF453" s="13" t="s">
        <v>137</v>
      </c>
      <c r="AG453" s="6"/>
      <c r="AH453" s="6"/>
      <c r="AI453" s="6"/>
    </row>
    <row r="454" spans="1:35" ht="16.5" x14ac:dyDescent="0.3">
      <c r="A454" s="28"/>
      <c r="B454" s="28"/>
      <c r="C454" s="26"/>
      <c r="D454" s="1" t="s">
        <v>30</v>
      </c>
      <c r="E454" s="13" t="s">
        <v>31</v>
      </c>
      <c r="F454" s="13" t="s">
        <v>32</v>
      </c>
      <c r="G454" s="13" t="s">
        <v>33</v>
      </c>
      <c r="H454" s="13" t="s">
        <v>34</v>
      </c>
      <c r="I454" s="13" t="s">
        <v>33</v>
      </c>
      <c r="J454" s="13" t="s">
        <v>33</v>
      </c>
      <c r="K454" s="13" t="s">
        <v>33</v>
      </c>
      <c r="L454" s="13" t="s">
        <v>33</v>
      </c>
      <c r="M454" s="13" t="s">
        <v>35</v>
      </c>
      <c r="N454" s="13" t="s">
        <v>33</v>
      </c>
      <c r="O454" s="13" t="s">
        <v>35</v>
      </c>
      <c r="P454" s="13" t="s">
        <v>33</v>
      </c>
      <c r="Q454" s="13" t="s">
        <v>35</v>
      </c>
      <c r="R454" s="13" t="s">
        <v>35</v>
      </c>
      <c r="S454" s="13" t="s">
        <v>35</v>
      </c>
      <c r="T454" s="13" t="s">
        <v>35</v>
      </c>
      <c r="U454" s="13" t="s">
        <v>35</v>
      </c>
      <c r="V454" s="13" t="s">
        <v>35</v>
      </c>
      <c r="X454" s="6"/>
      <c r="Y454" s="6"/>
      <c r="Z454" s="6"/>
      <c r="AA454" s="6"/>
      <c r="AB454" s="6"/>
      <c r="AC454" s="13" t="s">
        <v>31</v>
      </c>
      <c r="AD454" s="13"/>
      <c r="AE454" s="13" t="s">
        <v>138</v>
      </c>
      <c r="AF454" s="13" t="s">
        <v>139</v>
      </c>
      <c r="AG454" s="6"/>
      <c r="AH454" s="6" t="s">
        <v>260</v>
      </c>
      <c r="AI454" s="6"/>
    </row>
    <row r="455" spans="1:35" ht="16.5" x14ac:dyDescent="0.3">
      <c r="A455" s="28"/>
      <c r="B455" s="28"/>
      <c r="C455" s="26"/>
      <c r="D455" s="1"/>
      <c r="E455" s="20" t="s">
        <v>595</v>
      </c>
      <c r="F455" s="13" t="s">
        <v>37</v>
      </c>
      <c r="G455" s="13" t="s">
        <v>37</v>
      </c>
      <c r="H455" s="13" t="s">
        <v>37</v>
      </c>
      <c r="I455" s="13" t="s">
        <v>37</v>
      </c>
      <c r="J455" s="13" t="s">
        <v>37</v>
      </c>
      <c r="K455" s="13" t="s">
        <v>37</v>
      </c>
      <c r="L455" s="13" t="s">
        <v>37</v>
      </c>
      <c r="M455" s="13" t="s">
        <v>37</v>
      </c>
      <c r="N455" s="13" t="s">
        <v>37</v>
      </c>
      <c r="O455" s="13" t="s">
        <v>37</v>
      </c>
      <c r="P455" s="13" t="s">
        <v>37</v>
      </c>
      <c r="Q455" s="13" t="s">
        <v>37</v>
      </c>
      <c r="R455" s="13" t="s">
        <v>37</v>
      </c>
      <c r="S455" s="13" t="s">
        <v>37</v>
      </c>
      <c r="T455" s="13" t="s">
        <v>37</v>
      </c>
      <c r="U455" s="13" t="s">
        <v>37</v>
      </c>
      <c r="V455" s="13" t="s">
        <v>37</v>
      </c>
      <c r="X455" s="6"/>
      <c r="Y455" s="6"/>
      <c r="Z455" s="6"/>
      <c r="AA455" s="6"/>
      <c r="AB455" s="6"/>
      <c r="AC455" s="20" t="str">
        <f>IF(ISBLANK(E455),"",E455)</f>
        <v>Total Revenue Requirement</v>
      </c>
      <c r="AD455" s="6"/>
      <c r="AE455" s="13" t="s">
        <v>37</v>
      </c>
      <c r="AF455" s="13" t="s">
        <v>37</v>
      </c>
      <c r="AG455" s="6"/>
      <c r="AH455" s="6"/>
      <c r="AI455" s="6"/>
    </row>
    <row r="456" spans="1:35" ht="16.5" x14ac:dyDescent="0.3">
      <c r="A456" s="28"/>
      <c r="B456" s="28"/>
      <c r="C456" s="26"/>
      <c r="D456" s="1">
        <f>MAX(D443:D455)+NoOne</f>
        <v>40</v>
      </c>
      <c r="E456" s="6" t="s">
        <v>224</v>
      </c>
      <c r="F456" s="22">
        <f>SUM(G456:AF456)</f>
        <v>1009624140.6639924</v>
      </c>
      <c r="G456" s="22">
        <f>SUM(G400,G415,G430)</f>
        <v>497489606.71278876</v>
      </c>
      <c r="H456" s="22">
        <f t="shared" ref="G456:V458" si="140">SUM(H400,H415,H430)</f>
        <v>441101259.65806568</v>
      </c>
      <c r="I456" s="22">
        <f t="shared" si="140"/>
        <v>67479142.264135778</v>
      </c>
      <c r="J456" s="22">
        <f t="shared" si="140"/>
        <v>0</v>
      </c>
      <c r="K456" s="22">
        <f t="shared" si="140"/>
        <v>0</v>
      </c>
      <c r="L456" s="22">
        <f t="shared" si="140"/>
        <v>0</v>
      </c>
      <c r="M456" s="22">
        <f t="shared" si="140"/>
        <v>0</v>
      </c>
      <c r="N456" s="22">
        <f t="shared" si="140"/>
        <v>0</v>
      </c>
      <c r="O456" s="22">
        <f t="shared" si="140"/>
        <v>0</v>
      </c>
      <c r="P456" s="22">
        <f t="shared" si="140"/>
        <v>0</v>
      </c>
      <c r="Q456" s="22">
        <f t="shared" si="140"/>
        <v>0</v>
      </c>
      <c r="R456" s="22">
        <f t="shared" si="140"/>
        <v>0</v>
      </c>
      <c r="S456" s="22">
        <f t="shared" si="140"/>
        <v>0</v>
      </c>
      <c r="T456" s="22">
        <f t="shared" si="140"/>
        <v>0</v>
      </c>
      <c r="U456" s="22">
        <f t="shared" si="140"/>
        <v>0</v>
      </c>
      <c r="V456" s="22">
        <f t="shared" si="140"/>
        <v>2739449.9445818248</v>
      </c>
      <c r="X456" s="6"/>
      <c r="Y456" s="6"/>
      <c r="Z456" s="6"/>
      <c r="AA456" s="6"/>
      <c r="AB456" s="6"/>
      <c r="AC456" s="6" t="str">
        <f t="shared" ref="AC456:AC499" si="141">IF(ISBLANK(E456),"",E456)</f>
        <v>Newfoundland Power</v>
      </c>
      <c r="AD456" s="6"/>
      <c r="AE456" s="22">
        <f t="shared" ref="AE456:AF458" si="142">SUM(AE400,AE415,AE430)</f>
        <v>0</v>
      </c>
      <c r="AF456" s="22">
        <f t="shared" si="142"/>
        <v>814682.08442035457</v>
      </c>
      <c r="AG456" s="6"/>
      <c r="AH456" s="6"/>
      <c r="AI456" s="6"/>
    </row>
    <row r="457" spans="1:35" ht="16.5" x14ac:dyDescent="0.3">
      <c r="A457" s="28"/>
      <c r="B457" s="28"/>
      <c r="C457" s="26"/>
      <c r="D457" s="1">
        <f>MAX(D454:D456)+NoOne</f>
        <v>41</v>
      </c>
      <c r="E457" s="17" t="s">
        <v>227</v>
      </c>
      <c r="F457" s="22">
        <f>SUM(G457:AF457)</f>
        <v>77084808.23695381</v>
      </c>
      <c r="G457" s="22">
        <f t="shared" si="140"/>
        <v>27926061.908340991</v>
      </c>
      <c r="H457" s="22">
        <f t="shared" si="140"/>
        <v>44983819.442840025</v>
      </c>
      <c r="I457" s="22">
        <f t="shared" si="140"/>
        <v>3688532.727329466</v>
      </c>
      <c r="J457" s="22">
        <f t="shared" si="140"/>
        <v>0</v>
      </c>
      <c r="K457" s="22">
        <f t="shared" si="140"/>
        <v>0</v>
      </c>
      <c r="L457" s="22">
        <f t="shared" si="140"/>
        <v>0</v>
      </c>
      <c r="M457" s="22">
        <f t="shared" si="140"/>
        <v>0</v>
      </c>
      <c r="N457" s="22">
        <f t="shared" si="140"/>
        <v>0</v>
      </c>
      <c r="O457" s="22">
        <f t="shared" si="140"/>
        <v>0</v>
      </c>
      <c r="P457" s="22">
        <f t="shared" si="140"/>
        <v>0</v>
      </c>
      <c r="Q457" s="22">
        <f t="shared" si="140"/>
        <v>0</v>
      </c>
      <c r="R457" s="22">
        <f t="shared" si="140"/>
        <v>0</v>
      </c>
      <c r="S457" s="22">
        <f t="shared" si="140"/>
        <v>0</v>
      </c>
      <c r="T457" s="22">
        <f t="shared" si="140"/>
        <v>0</v>
      </c>
      <c r="U457" s="22">
        <f t="shared" si="140"/>
        <v>0</v>
      </c>
      <c r="V457" s="22">
        <f t="shared" si="140"/>
        <v>412553.75679923163</v>
      </c>
      <c r="X457" s="6"/>
      <c r="Y457" s="6"/>
      <c r="Z457" s="6"/>
      <c r="AA457" s="6"/>
      <c r="AB457" s="6"/>
      <c r="AC457" s="17" t="str">
        <f t="shared" si="141"/>
        <v>Industrial - Firm</v>
      </c>
      <c r="AD457" s="6"/>
      <c r="AE457" s="22">
        <f t="shared" si="142"/>
        <v>0</v>
      </c>
      <c r="AF457" s="22">
        <f t="shared" si="142"/>
        <v>73840.40164409412</v>
      </c>
      <c r="AG457" s="6"/>
      <c r="AH457" s="6"/>
      <c r="AI457" s="6"/>
    </row>
    <row r="458" spans="1:35" ht="16.5" x14ac:dyDescent="0.3">
      <c r="A458" s="28"/>
      <c r="B458" s="28"/>
      <c r="C458" s="26"/>
      <c r="D458" s="1">
        <f>MAX(D455:D457)+NoOne</f>
        <v>42</v>
      </c>
      <c r="E458" s="17" t="s">
        <v>229</v>
      </c>
      <c r="F458" s="22">
        <f>SUM(G458:AF458)</f>
        <v>0</v>
      </c>
      <c r="G458" s="22">
        <f t="shared" si="140"/>
        <v>0</v>
      </c>
      <c r="H458" s="22">
        <f t="shared" si="140"/>
        <v>0</v>
      </c>
      <c r="I458" s="22">
        <f t="shared" si="140"/>
        <v>0</v>
      </c>
      <c r="J458" s="22">
        <f t="shared" si="140"/>
        <v>0</v>
      </c>
      <c r="K458" s="22">
        <f t="shared" si="140"/>
        <v>0</v>
      </c>
      <c r="L458" s="22">
        <f t="shared" si="140"/>
        <v>0</v>
      </c>
      <c r="M458" s="22">
        <f t="shared" si="140"/>
        <v>0</v>
      </c>
      <c r="N458" s="22">
        <f t="shared" si="140"/>
        <v>0</v>
      </c>
      <c r="O458" s="22">
        <f t="shared" si="140"/>
        <v>0</v>
      </c>
      <c r="P458" s="22">
        <f t="shared" si="140"/>
        <v>0</v>
      </c>
      <c r="Q458" s="22">
        <f t="shared" si="140"/>
        <v>0</v>
      </c>
      <c r="R458" s="22">
        <f t="shared" si="140"/>
        <v>0</v>
      </c>
      <c r="S458" s="22">
        <f t="shared" si="140"/>
        <v>0</v>
      </c>
      <c r="T458" s="22">
        <f t="shared" si="140"/>
        <v>0</v>
      </c>
      <c r="U458" s="22">
        <f t="shared" si="140"/>
        <v>0</v>
      </c>
      <c r="V458" s="22">
        <f t="shared" si="140"/>
        <v>0</v>
      </c>
      <c r="X458" s="6"/>
      <c r="Y458" s="6"/>
      <c r="Z458" s="6"/>
      <c r="AA458" s="6"/>
      <c r="AB458" s="6"/>
      <c r="AC458" s="17" t="str">
        <f t="shared" si="141"/>
        <v>Industrial - Non-Firm</v>
      </c>
      <c r="AD458" s="6"/>
      <c r="AE458" s="22">
        <f t="shared" si="142"/>
        <v>0</v>
      </c>
      <c r="AF458" s="22">
        <f t="shared" si="142"/>
        <v>0</v>
      </c>
      <c r="AG458" s="6"/>
      <c r="AH458" s="6"/>
      <c r="AI458" s="6"/>
    </row>
    <row r="459" spans="1:35" ht="16.5" x14ac:dyDescent="0.3">
      <c r="A459" s="28"/>
      <c r="B459" s="28"/>
      <c r="C459" s="26"/>
      <c r="D459" s="1"/>
      <c r="E459" s="20" t="s">
        <v>230</v>
      </c>
      <c r="F459" s="22"/>
      <c r="G459" s="22" t="s">
        <v>39</v>
      </c>
      <c r="H459" s="22" t="s">
        <v>39</v>
      </c>
      <c r="I459" s="22" t="s">
        <v>39</v>
      </c>
      <c r="J459" s="22" t="s">
        <v>39</v>
      </c>
      <c r="K459" s="22" t="s">
        <v>39</v>
      </c>
      <c r="L459" s="22" t="s">
        <v>39</v>
      </c>
      <c r="M459" s="22" t="s">
        <v>39</v>
      </c>
      <c r="N459" s="22" t="s">
        <v>39</v>
      </c>
      <c r="O459" s="22" t="s">
        <v>39</v>
      </c>
      <c r="P459" s="22" t="s">
        <v>39</v>
      </c>
      <c r="Q459" s="22" t="s">
        <v>39</v>
      </c>
      <c r="R459" s="22" t="s">
        <v>39</v>
      </c>
      <c r="S459" s="22" t="s">
        <v>39</v>
      </c>
      <c r="T459" s="22" t="s">
        <v>39</v>
      </c>
      <c r="U459" s="22" t="s">
        <v>39</v>
      </c>
      <c r="V459" s="22" t="s">
        <v>39</v>
      </c>
      <c r="X459" s="6"/>
      <c r="Y459" s="6"/>
      <c r="Z459" s="6"/>
      <c r="AA459" s="6"/>
      <c r="AB459" s="6"/>
      <c r="AC459" s="20" t="str">
        <f t="shared" si="141"/>
        <v>Rural</v>
      </c>
      <c r="AD459" s="6"/>
      <c r="AE459" s="22" t="s">
        <v>39</v>
      </c>
      <c r="AF459" s="22" t="s">
        <v>39</v>
      </c>
      <c r="AG459" s="6"/>
      <c r="AH459" s="6"/>
      <c r="AI459" s="6"/>
    </row>
    <row r="460" spans="1:35" ht="16.5" x14ac:dyDescent="0.3">
      <c r="A460" s="28"/>
      <c r="B460" s="28"/>
      <c r="C460" s="26"/>
      <c r="D460" s="1">
        <f t="shared" ref="D460:D469" si="143">MAX(D457:D459)+NoOne</f>
        <v>43</v>
      </c>
      <c r="E460" s="17" t="s">
        <v>232</v>
      </c>
      <c r="F460" s="22">
        <f t="shared" ref="F460:F467" si="144">SUM(G460:AF460)</f>
        <v>37388533.799196698</v>
      </c>
      <c r="G460" s="22">
        <f>SUM(G404,G419,G434)</f>
        <v>11262024.746388577</v>
      </c>
      <c r="H460" s="22">
        <f>SUM(H404,H419,H434)</f>
        <v>8687799.2323941663</v>
      </c>
      <c r="I460" s="22">
        <f t="shared" ref="G460:V467" si="145">SUM(I404,I419,I434)</f>
        <v>1487511.8084817135</v>
      </c>
      <c r="J460" s="22">
        <f t="shared" si="145"/>
        <v>3158534.2405549535</v>
      </c>
      <c r="K460" s="22">
        <f t="shared" si="145"/>
        <v>2561744.8976141308</v>
      </c>
      <c r="L460" s="22">
        <f t="shared" si="145"/>
        <v>3479162.6945333565</v>
      </c>
      <c r="M460" s="22">
        <f t="shared" si="145"/>
        <v>1399461.371099384</v>
      </c>
      <c r="N460" s="22">
        <f t="shared" si="145"/>
        <v>341774.44262594299</v>
      </c>
      <c r="O460" s="22">
        <f t="shared" si="145"/>
        <v>854932.95567732689</v>
      </c>
      <c r="P460" s="22">
        <f t="shared" si="145"/>
        <v>512385.82063094509</v>
      </c>
      <c r="Q460" s="22">
        <f t="shared" si="145"/>
        <v>825647.39798326686</v>
      </c>
      <c r="R460" s="22">
        <f t="shared" si="145"/>
        <v>155454.54474464402</v>
      </c>
      <c r="S460" s="22">
        <f t="shared" si="145"/>
        <v>525760.67940065206</v>
      </c>
      <c r="T460" s="22">
        <f t="shared" si="145"/>
        <v>0</v>
      </c>
      <c r="U460" s="22">
        <f t="shared" si="145"/>
        <v>1729173.4947743851</v>
      </c>
      <c r="V460" s="22">
        <f t="shared" si="145"/>
        <v>0</v>
      </c>
      <c r="X460" s="6"/>
      <c r="Y460" s="6"/>
      <c r="Z460" s="6"/>
      <c r="AA460" s="6"/>
      <c r="AB460" s="6"/>
      <c r="AC460" s="17" t="str">
        <f t="shared" si="141"/>
        <v>1.1 Domestic</v>
      </c>
      <c r="AD460" s="6"/>
      <c r="AE460" s="22">
        <f t="shared" ref="AE460:AF467" si="146">SUM(AE404,AE419,AE434)</f>
        <v>384122.60818268097</v>
      </c>
      <c r="AF460" s="22">
        <f t="shared" si="146"/>
        <v>23042.864110577801</v>
      </c>
      <c r="AG460" s="6"/>
      <c r="AH460" s="6"/>
      <c r="AI460" s="6"/>
    </row>
    <row r="461" spans="1:35" ht="16.5" x14ac:dyDescent="0.3">
      <c r="A461" s="28"/>
      <c r="B461" s="28"/>
      <c r="C461" s="26"/>
      <c r="D461" s="1">
        <f t="shared" si="143"/>
        <v>44</v>
      </c>
      <c r="E461" s="17" t="s">
        <v>234</v>
      </c>
      <c r="F461" s="22">
        <f t="shared" si="144"/>
        <v>42858447.734829396</v>
      </c>
      <c r="G461" s="22">
        <f t="shared" si="145"/>
        <v>13071869.743749134</v>
      </c>
      <c r="H461" s="22">
        <f t="shared" si="145"/>
        <v>11712918.062249465</v>
      </c>
      <c r="I461" s="22">
        <f t="shared" si="145"/>
        <v>1726559.9251144431</v>
      </c>
      <c r="J461" s="22">
        <f t="shared" si="145"/>
        <v>3666121.2440459137</v>
      </c>
      <c r="K461" s="22">
        <f t="shared" si="145"/>
        <v>2973425.8601291198</v>
      </c>
      <c r="L461" s="22">
        <f t="shared" si="145"/>
        <v>4038275.7616329351</v>
      </c>
      <c r="M461" s="22">
        <f t="shared" si="145"/>
        <v>1060941.0111318845</v>
      </c>
      <c r="N461" s="22">
        <f t="shared" si="145"/>
        <v>396698.73724806332</v>
      </c>
      <c r="O461" s="22">
        <f t="shared" si="145"/>
        <v>648130.38300137571</v>
      </c>
      <c r="P461" s="22">
        <f t="shared" si="145"/>
        <v>594727.9336230848</v>
      </c>
      <c r="Q461" s="22">
        <f t="shared" si="145"/>
        <v>625928.80614249525</v>
      </c>
      <c r="R461" s="22">
        <f t="shared" si="145"/>
        <v>117851.12850729551</v>
      </c>
      <c r="S461" s="22">
        <f t="shared" si="145"/>
        <v>398582.68212042109</v>
      </c>
      <c r="T461" s="22">
        <f t="shared" si="145"/>
        <v>0</v>
      </c>
      <c r="U461" s="22">
        <f t="shared" si="145"/>
        <v>1310897.9739306492</v>
      </c>
      <c r="V461" s="22">
        <f t="shared" si="145"/>
        <v>0</v>
      </c>
      <c r="X461" s="6"/>
      <c r="Y461" s="6"/>
      <c r="Z461" s="6"/>
      <c r="AA461" s="6"/>
      <c r="AB461" s="6"/>
      <c r="AC461" s="17" t="str">
        <f t="shared" si="141"/>
        <v xml:space="preserve">1.12 Domestic All Electric </v>
      </c>
      <c r="AD461" s="6"/>
      <c r="AE461" s="22">
        <f>SUM(AE405,AE420,AE435)</f>
        <v>486343.55667470931</v>
      </c>
      <c r="AF461" s="22">
        <f t="shared" si="146"/>
        <v>29174.925528415435</v>
      </c>
      <c r="AG461" s="6"/>
      <c r="AH461" s="6"/>
      <c r="AI461" s="6"/>
    </row>
    <row r="462" spans="1:35" ht="16.5" x14ac:dyDescent="0.3">
      <c r="A462" s="28"/>
      <c r="B462" s="28"/>
      <c r="C462" s="26"/>
      <c r="D462" s="1">
        <f t="shared" si="143"/>
        <v>45</v>
      </c>
      <c r="E462" s="17" t="s">
        <v>236</v>
      </c>
      <c r="F462" s="22">
        <f t="shared" si="144"/>
        <v>120316.18125630789</v>
      </c>
      <c r="G462" s="22">
        <f t="shared" si="145"/>
        <v>45300.053569215459</v>
      </c>
      <c r="H462" s="22">
        <f t="shared" si="145"/>
        <v>27544.638970309941</v>
      </c>
      <c r="I462" s="22">
        <f t="shared" si="145"/>
        <v>5983.3259228692878</v>
      </c>
      <c r="J462" s="22">
        <f t="shared" si="145"/>
        <v>12704.79984899901</v>
      </c>
      <c r="K462" s="22">
        <f t="shared" si="145"/>
        <v>10304.291076060517</v>
      </c>
      <c r="L462" s="22">
        <f t="shared" si="145"/>
        <v>13994.486780799967</v>
      </c>
      <c r="M462" s="22">
        <f t="shared" si="145"/>
        <v>121.7568913636654</v>
      </c>
      <c r="N462" s="22">
        <f t="shared" si="145"/>
        <v>1374.7439655119526</v>
      </c>
      <c r="O462" s="22">
        <f t="shared" si="145"/>
        <v>74.381459293762333</v>
      </c>
      <c r="P462" s="22">
        <f t="shared" si="145"/>
        <v>2061.0064038557016</v>
      </c>
      <c r="Q462" s="22">
        <f t="shared" si="145"/>
        <v>71.833537257244203</v>
      </c>
      <c r="R462" s="22">
        <f t="shared" si="145"/>
        <v>13.524962179979688</v>
      </c>
      <c r="S462" s="22">
        <f t="shared" si="145"/>
        <v>45.742588718103335</v>
      </c>
      <c r="T462" s="22">
        <f t="shared" si="145"/>
        <v>0</v>
      </c>
      <c r="U462" s="22">
        <f t="shared" si="145"/>
        <v>150.44273011035676</v>
      </c>
      <c r="V462" s="22">
        <f t="shared" si="145"/>
        <v>0</v>
      </c>
      <c r="X462" s="6"/>
      <c r="Y462" s="6"/>
      <c r="Z462" s="6"/>
      <c r="AA462" s="6"/>
      <c r="AB462" s="6"/>
      <c r="AC462" s="17" t="str">
        <f t="shared" si="141"/>
        <v>1.3 Special</v>
      </c>
      <c r="AD462" s="6"/>
      <c r="AE462" s="22">
        <f t="shared" si="146"/>
        <v>538.82910515338892</v>
      </c>
      <c r="AF462" s="22">
        <f t="shared" si="146"/>
        <v>32.323444609563047</v>
      </c>
      <c r="AG462" s="6"/>
      <c r="AH462" s="6"/>
      <c r="AI462" s="6"/>
    </row>
    <row r="463" spans="1:35" ht="16.5" x14ac:dyDescent="0.3">
      <c r="A463" s="28"/>
      <c r="B463" s="28"/>
      <c r="C463" s="26"/>
      <c r="D463" s="1">
        <f t="shared" si="143"/>
        <v>46</v>
      </c>
      <c r="E463" s="17" t="s">
        <v>238</v>
      </c>
      <c r="F463" s="22">
        <f t="shared" si="144"/>
        <v>18726443.102378324</v>
      </c>
      <c r="G463" s="22">
        <f t="shared" si="145"/>
        <v>5184483.2737263078</v>
      </c>
      <c r="H463" s="22">
        <f t="shared" si="145"/>
        <v>5815284.2963642385</v>
      </c>
      <c r="I463" s="22">
        <f t="shared" si="145"/>
        <v>684777.40585828805</v>
      </c>
      <c r="J463" s="22">
        <f t="shared" si="145"/>
        <v>1454034.0931944866</v>
      </c>
      <c r="K463" s="22">
        <f t="shared" si="145"/>
        <v>1179301.5796287546</v>
      </c>
      <c r="L463" s="22">
        <f t="shared" si="145"/>
        <v>1601635.6918559354</v>
      </c>
      <c r="M463" s="22">
        <f t="shared" si="145"/>
        <v>370323.58508258825</v>
      </c>
      <c r="N463" s="22">
        <f t="shared" si="145"/>
        <v>157336.17365292509</v>
      </c>
      <c r="O463" s="22">
        <f t="shared" si="145"/>
        <v>226231.20844197817</v>
      </c>
      <c r="P463" s="22">
        <f t="shared" si="145"/>
        <v>235877.2757631806</v>
      </c>
      <c r="Q463" s="22">
        <f t="shared" si="145"/>
        <v>218481.70356790826</v>
      </c>
      <c r="R463" s="22">
        <f t="shared" si="145"/>
        <v>196224.69226762283</v>
      </c>
      <c r="S463" s="22">
        <f t="shared" si="145"/>
        <v>663648.83504226862</v>
      </c>
      <c r="T463" s="22">
        <f t="shared" si="145"/>
        <v>0</v>
      </c>
      <c r="U463" s="22">
        <f t="shared" si="145"/>
        <v>457571.56363065005</v>
      </c>
      <c r="V463" s="22">
        <f t="shared" si="145"/>
        <v>0</v>
      </c>
      <c r="X463" s="6"/>
      <c r="Y463" s="6"/>
      <c r="Z463" s="6"/>
      <c r="AA463" s="6"/>
      <c r="AB463" s="6"/>
      <c r="AC463" s="17" t="str">
        <f t="shared" si="141"/>
        <v>2.1 GS 0-10 kW</v>
      </c>
      <c r="AD463" s="6"/>
      <c r="AE463" s="22">
        <f t="shared" si="146"/>
        <v>265315.8747323213</v>
      </c>
      <c r="AF463" s="22">
        <f t="shared" si="146"/>
        <v>15915.849568865882</v>
      </c>
      <c r="AG463" s="6"/>
      <c r="AH463" s="6"/>
      <c r="AI463" s="6"/>
    </row>
    <row r="464" spans="1:35" ht="16.5" x14ac:dyDescent="0.3">
      <c r="A464" s="28"/>
      <c r="B464" s="28"/>
      <c r="C464" s="26"/>
      <c r="D464" s="1">
        <f t="shared" si="143"/>
        <v>47</v>
      </c>
      <c r="E464" s="17" t="s">
        <v>240</v>
      </c>
      <c r="F464" s="22">
        <f t="shared" si="144"/>
        <v>0</v>
      </c>
      <c r="G464" s="22">
        <f t="shared" si="145"/>
        <v>0</v>
      </c>
      <c r="H464" s="22">
        <f t="shared" si="145"/>
        <v>0</v>
      </c>
      <c r="I464" s="22">
        <f t="shared" si="145"/>
        <v>0</v>
      </c>
      <c r="J464" s="22">
        <f t="shared" si="145"/>
        <v>0</v>
      </c>
      <c r="K464" s="22">
        <f t="shared" si="145"/>
        <v>0</v>
      </c>
      <c r="L464" s="22">
        <f t="shared" si="145"/>
        <v>0</v>
      </c>
      <c r="M464" s="22">
        <f t="shared" si="145"/>
        <v>0</v>
      </c>
      <c r="N464" s="22">
        <f t="shared" si="145"/>
        <v>0</v>
      </c>
      <c r="O464" s="22">
        <f t="shared" si="145"/>
        <v>0</v>
      </c>
      <c r="P464" s="22">
        <f t="shared" si="145"/>
        <v>0</v>
      </c>
      <c r="Q464" s="22">
        <f t="shared" si="145"/>
        <v>0</v>
      </c>
      <c r="R464" s="22">
        <f t="shared" si="145"/>
        <v>0</v>
      </c>
      <c r="S464" s="22">
        <f t="shared" si="145"/>
        <v>0</v>
      </c>
      <c r="T464" s="22">
        <f t="shared" si="145"/>
        <v>0</v>
      </c>
      <c r="U464" s="22">
        <f t="shared" si="145"/>
        <v>0</v>
      </c>
      <c r="V464" s="22">
        <f t="shared" si="145"/>
        <v>0</v>
      </c>
      <c r="X464" s="6"/>
      <c r="Y464" s="6"/>
      <c r="Z464" s="6"/>
      <c r="AA464" s="6"/>
      <c r="AB464" s="6"/>
      <c r="AC464" s="17" t="str">
        <f t="shared" si="141"/>
        <v>2.2 GS 10-100 kW</v>
      </c>
      <c r="AD464" s="6"/>
      <c r="AE464" s="22">
        <f t="shared" si="146"/>
        <v>0</v>
      </c>
      <c r="AF464" s="22">
        <f t="shared" si="146"/>
        <v>0</v>
      </c>
      <c r="AG464" s="6"/>
      <c r="AH464" s="6"/>
      <c r="AI464" s="6"/>
    </row>
    <row r="465" spans="1:35" ht="16.5" x14ac:dyDescent="0.3">
      <c r="A465" s="28"/>
      <c r="B465" s="28"/>
      <c r="C465" s="26"/>
      <c r="D465" s="1">
        <f t="shared" si="143"/>
        <v>48</v>
      </c>
      <c r="E465" s="17" t="s">
        <v>242</v>
      </c>
      <c r="F465" s="22">
        <f t="shared" si="144"/>
        <v>11511869.290480131</v>
      </c>
      <c r="G465" s="22">
        <f t="shared" si="145"/>
        <v>3428429.2360210423</v>
      </c>
      <c r="H465" s="22">
        <f t="shared" si="145"/>
        <v>4329882.366035155</v>
      </c>
      <c r="I465" s="22">
        <f t="shared" si="145"/>
        <v>452834.11180219753</v>
      </c>
      <c r="J465" s="22">
        <f t="shared" si="145"/>
        <v>961533.23910646047</v>
      </c>
      <c r="K465" s="22">
        <f t="shared" si="145"/>
        <v>779856.31358379044</v>
      </c>
      <c r="L465" s="22">
        <f t="shared" si="145"/>
        <v>1059140.1961389675</v>
      </c>
      <c r="M465" s="22">
        <f t="shared" si="145"/>
        <v>10166.700428866063</v>
      </c>
      <c r="N465" s="22">
        <f t="shared" si="145"/>
        <v>96477.66040589007</v>
      </c>
      <c r="O465" s="22">
        <f t="shared" si="145"/>
        <v>6210.851851029156</v>
      </c>
      <c r="P465" s="22">
        <f t="shared" si="145"/>
        <v>144638.62429212916</v>
      </c>
      <c r="Q465" s="22">
        <f t="shared" si="145"/>
        <v>5998.1003609798909</v>
      </c>
      <c r="R465" s="22">
        <f t="shared" si="145"/>
        <v>9508.3531954945902</v>
      </c>
      <c r="S465" s="22">
        <f t="shared" si="145"/>
        <v>32158.07067111709</v>
      </c>
      <c r="T465" s="22">
        <f t="shared" si="145"/>
        <v>0</v>
      </c>
      <c r="U465" s="22">
        <f t="shared" si="145"/>
        <v>12561.967964214789</v>
      </c>
      <c r="V465" s="22">
        <f t="shared" si="145"/>
        <v>0</v>
      </c>
      <c r="X465" s="6"/>
      <c r="Y465" s="6"/>
      <c r="Z465" s="6"/>
      <c r="AA465" s="6"/>
      <c r="AB465" s="6"/>
      <c r="AC465" s="17" t="str">
        <f t="shared" si="141"/>
        <v>2.3 GS 110-1,000 kVa</v>
      </c>
      <c r="AD465" s="6"/>
      <c r="AE465" s="22">
        <f t="shared" si="146"/>
        <v>172146.70934750428</v>
      </c>
      <c r="AF465" s="22">
        <f t="shared" si="146"/>
        <v>10326.78927529089</v>
      </c>
      <c r="AG465" s="6"/>
      <c r="AH465" s="6"/>
      <c r="AI465" s="6"/>
    </row>
    <row r="466" spans="1:35" ht="16.5" x14ac:dyDescent="0.3">
      <c r="A466" s="28"/>
      <c r="B466" s="28"/>
      <c r="C466" s="26"/>
      <c r="D466" s="1">
        <f t="shared" si="143"/>
        <v>49</v>
      </c>
      <c r="E466" s="17" t="s">
        <v>244</v>
      </c>
      <c r="F466" s="22">
        <f t="shared" si="144"/>
        <v>7187261.5622420032</v>
      </c>
      <c r="G466" s="22">
        <f t="shared" si="145"/>
        <v>2001377.2579194037</v>
      </c>
      <c r="H466" s="22">
        <f t="shared" si="145"/>
        <v>3115685.4200348132</v>
      </c>
      <c r="I466" s="22">
        <f t="shared" si="145"/>
        <v>264346.09862995823</v>
      </c>
      <c r="J466" s="22">
        <f t="shared" si="145"/>
        <v>561303.91645902977</v>
      </c>
      <c r="K466" s="22">
        <f t="shared" si="145"/>
        <v>455248.33181707293</v>
      </c>
      <c r="L466" s="22">
        <f t="shared" si="145"/>
        <v>618282.87987677637</v>
      </c>
      <c r="M466" s="22">
        <f t="shared" si="145"/>
        <v>974.05513090932322</v>
      </c>
      <c r="N466" s="22">
        <f t="shared" si="145"/>
        <v>25067.953664753801</v>
      </c>
      <c r="O466" s="22">
        <f t="shared" si="145"/>
        <v>595.05167435009866</v>
      </c>
      <c r="P466" s="22">
        <f t="shared" si="145"/>
        <v>37581.698360374721</v>
      </c>
      <c r="Q466" s="22">
        <f t="shared" si="145"/>
        <v>574.66829805795362</v>
      </c>
      <c r="R466" s="22">
        <f t="shared" si="145"/>
        <v>910.97994687373341</v>
      </c>
      <c r="S466" s="22">
        <f t="shared" si="145"/>
        <v>3081.0127589094222</v>
      </c>
      <c r="T466" s="22">
        <f t="shared" si="145"/>
        <v>0</v>
      </c>
      <c r="U466" s="22">
        <f t="shared" si="145"/>
        <v>1203.5418408828541</v>
      </c>
      <c r="V466" s="22">
        <f t="shared" si="145"/>
        <v>0</v>
      </c>
      <c r="X466" s="6"/>
      <c r="Y466" s="6"/>
      <c r="Z466" s="6"/>
      <c r="AA466" s="6"/>
      <c r="AB466" s="6"/>
      <c r="AC466" s="17" t="str">
        <f t="shared" si="141"/>
        <v>2.4 GS Over 1,000 kVa</v>
      </c>
      <c r="AD466" s="6"/>
      <c r="AE466" s="22">
        <f t="shared" si="146"/>
        <v>95311.141990695411</v>
      </c>
      <c r="AF466" s="22">
        <f t="shared" si="146"/>
        <v>5717.5538391405789</v>
      </c>
      <c r="AG466" s="6"/>
      <c r="AH466" s="6"/>
      <c r="AI466" s="6"/>
    </row>
    <row r="467" spans="1:35" ht="16.5" x14ac:dyDescent="0.3">
      <c r="A467" s="28"/>
      <c r="B467" s="28"/>
      <c r="C467" s="26"/>
      <c r="D467" s="1">
        <f t="shared" si="143"/>
        <v>50</v>
      </c>
      <c r="E467" s="17" t="s">
        <v>246</v>
      </c>
      <c r="F467" s="34">
        <f t="shared" si="144"/>
        <v>1630153.67279597</v>
      </c>
      <c r="G467" s="22">
        <f t="shared" si="145"/>
        <v>214503.08862840451</v>
      </c>
      <c r="H467" s="22">
        <f t="shared" si="145"/>
        <v>165812.36083560094</v>
      </c>
      <c r="I467" s="22">
        <f t="shared" si="145"/>
        <v>28332.017064060361</v>
      </c>
      <c r="J467" s="22">
        <f t="shared" si="145"/>
        <v>60159.284444377554</v>
      </c>
      <c r="K467" s="22">
        <f t="shared" si="145"/>
        <v>48792.486714477978</v>
      </c>
      <c r="L467" s="22">
        <f t="shared" si="145"/>
        <v>66266.160892377899</v>
      </c>
      <c r="M467" s="22">
        <f t="shared" si="145"/>
        <v>128636.1557257125</v>
      </c>
      <c r="N467" s="22">
        <f t="shared" si="145"/>
        <v>6509.6352750445903</v>
      </c>
      <c r="O467" s="22">
        <f t="shared" si="145"/>
        <v>78584.011743859912</v>
      </c>
      <c r="P467" s="22">
        <f t="shared" si="145"/>
        <v>9759.1990401177191</v>
      </c>
      <c r="Q467" s="22">
        <f t="shared" si="145"/>
        <v>75892.132112278501</v>
      </c>
      <c r="R467" s="22">
        <f t="shared" si="145"/>
        <v>0</v>
      </c>
      <c r="S467" s="22">
        <f t="shared" si="145"/>
        <v>0</v>
      </c>
      <c r="T467" s="22">
        <f t="shared" si="145"/>
        <v>558440.70258938998</v>
      </c>
      <c r="U467" s="22">
        <f t="shared" si="145"/>
        <v>158942.7443615919</v>
      </c>
      <c r="V467" s="22">
        <f t="shared" si="145"/>
        <v>0</v>
      </c>
      <c r="X467" s="6"/>
      <c r="Y467" s="6"/>
      <c r="Z467" s="6"/>
      <c r="AA467" s="6"/>
      <c r="AB467" s="6"/>
      <c r="AC467" s="17" t="str">
        <f t="shared" si="141"/>
        <v>4.1 Street and Area Lighting</v>
      </c>
      <c r="AD467" s="6"/>
      <c r="AE467" s="22">
        <f t="shared" si="146"/>
        <v>27852.848219392701</v>
      </c>
      <c r="AF467" s="22">
        <f t="shared" si="146"/>
        <v>1670.8451492831248</v>
      </c>
      <c r="AG467" s="6"/>
      <c r="AH467" s="6"/>
      <c r="AI467" s="6"/>
    </row>
    <row r="468" spans="1:35" ht="16.5" x14ac:dyDescent="0.3">
      <c r="A468" s="28">
        <f>(SUM(G468:AF468)-F468)*1000</f>
        <v>2.9802322387695313E-5</v>
      </c>
      <c r="B468" s="28"/>
      <c r="C468" s="29"/>
      <c r="D468" s="1">
        <f t="shared" si="143"/>
        <v>51</v>
      </c>
      <c r="E468" s="20" t="s">
        <v>247</v>
      </c>
      <c r="F468" s="30">
        <f>SUM(F460:F467)</f>
        <v>119423025.34317882</v>
      </c>
      <c r="G468" s="30">
        <f>SUM(G460:G467)</f>
        <v>35207987.400002085</v>
      </c>
      <c r="H468" s="30">
        <f>SUM(H460:H467)</f>
        <v>33854926.376883753</v>
      </c>
      <c r="I468" s="30">
        <f>SUM(I460:I467)</f>
        <v>4650344.6928735292</v>
      </c>
      <c r="J468" s="30">
        <f t="shared" ref="J468:V468" si="147">SUM(J460:J467)</f>
        <v>9874390.8176542204</v>
      </c>
      <c r="K468" s="30">
        <f t="shared" si="147"/>
        <v>8008673.7605634062</v>
      </c>
      <c r="L468" s="30">
        <f t="shared" si="147"/>
        <v>10876757.871711148</v>
      </c>
      <c r="M468" s="30">
        <f t="shared" si="147"/>
        <v>2970624.6354907081</v>
      </c>
      <c r="N468" s="30">
        <f t="shared" si="147"/>
        <v>1025239.3468381318</v>
      </c>
      <c r="O468" s="30">
        <f t="shared" si="147"/>
        <v>1814758.8438492136</v>
      </c>
      <c r="P468" s="30">
        <f t="shared" si="147"/>
        <v>1537031.5581136877</v>
      </c>
      <c r="Q468" s="30">
        <f t="shared" si="147"/>
        <v>1752594.6420022438</v>
      </c>
      <c r="R468" s="30">
        <f t="shared" si="147"/>
        <v>479963.22362411063</v>
      </c>
      <c r="S468" s="30">
        <f t="shared" si="147"/>
        <v>1623277.0225820865</v>
      </c>
      <c r="T468" s="30">
        <f t="shared" si="147"/>
        <v>558440.70258938998</v>
      </c>
      <c r="U468" s="30">
        <f t="shared" si="147"/>
        <v>3670501.7292324845</v>
      </c>
      <c r="V468" s="30">
        <f t="shared" si="147"/>
        <v>0</v>
      </c>
      <c r="X468" s="6"/>
      <c r="Y468" s="6"/>
      <c r="Z468" s="6"/>
      <c r="AA468" s="6"/>
      <c r="AB468" s="6"/>
      <c r="AC468" s="20" t="str">
        <f t="shared" si="141"/>
        <v xml:space="preserve">    Subtotal Rural</v>
      </c>
      <c r="AD468" s="6"/>
      <c r="AE468" s="30">
        <f>SUM(AE460:AE467)</f>
        <v>1431631.5682524573</v>
      </c>
      <c r="AF468" s="30">
        <f>SUM(AF460:AF467)</f>
        <v>85881.15091618328</v>
      </c>
      <c r="AG468" s="6"/>
      <c r="AH468" s="6"/>
      <c r="AI468" s="6"/>
    </row>
    <row r="469" spans="1:35" ht="17.25" thickBot="1" x14ac:dyDescent="0.35">
      <c r="A469" s="28">
        <f>(SUM(G469:AF469)-F469)*1000</f>
        <v>0</v>
      </c>
      <c r="B469" s="28"/>
      <c r="C469" s="29"/>
      <c r="D469" s="1">
        <f t="shared" si="143"/>
        <v>52</v>
      </c>
      <c r="E469" s="20" t="s">
        <v>248</v>
      </c>
      <c r="F469" s="55">
        <f>SUM(F468,F456:F458)</f>
        <v>1206131974.2441249</v>
      </c>
      <c r="G469" s="55">
        <f>SUM(G468,G456:G458)</f>
        <v>560623656.02113175</v>
      </c>
      <c r="H469" s="55">
        <f>SUM(H468,H456:H458)</f>
        <v>519940005.47778946</v>
      </c>
      <c r="I469" s="55">
        <f>SUM(I468,I456:I458)</f>
        <v>75818019.684338763</v>
      </c>
      <c r="J469" s="55">
        <f t="shared" ref="J469:V469" si="148">SUM(J468,J456:J458)</f>
        <v>9874390.8176542204</v>
      </c>
      <c r="K469" s="55">
        <f t="shared" si="148"/>
        <v>8008673.7605634062</v>
      </c>
      <c r="L469" s="55">
        <f t="shared" si="148"/>
        <v>10876757.871711148</v>
      </c>
      <c r="M469" s="55">
        <f t="shared" si="148"/>
        <v>2970624.6354907081</v>
      </c>
      <c r="N469" s="55">
        <f t="shared" si="148"/>
        <v>1025239.3468381318</v>
      </c>
      <c r="O469" s="55">
        <f t="shared" si="148"/>
        <v>1814758.8438492136</v>
      </c>
      <c r="P469" s="55">
        <f t="shared" si="148"/>
        <v>1537031.5581136877</v>
      </c>
      <c r="Q469" s="55">
        <f t="shared" si="148"/>
        <v>1752594.6420022438</v>
      </c>
      <c r="R469" s="55">
        <f t="shared" si="148"/>
        <v>479963.22362411063</v>
      </c>
      <c r="S469" s="55">
        <f t="shared" si="148"/>
        <v>1623277.0225820865</v>
      </c>
      <c r="T469" s="55">
        <f t="shared" si="148"/>
        <v>558440.70258938998</v>
      </c>
      <c r="U469" s="55">
        <f t="shared" si="148"/>
        <v>3670501.7292324845</v>
      </c>
      <c r="V469" s="55">
        <f t="shared" si="148"/>
        <v>3152003.7013810566</v>
      </c>
      <c r="X469" s="6"/>
      <c r="Y469" s="6"/>
      <c r="Z469" s="6"/>
      <c r="AA469" s="6"/>
      <c r="AB469" s="6"/>
      <c r="AC469" s="20" t="str">
        <f t="shared" si="141"/>
        <v xml:space="preserve">      Total</v>
      </c>
      <c r="AD469" s="6"/>
      <c r="AE469" s="55">
        <f>SUM(AE468,AE456:AE458)</f>
        <v>1431631.5682524573</v>
      </c>
      <c r="AF469" s="55">
        <f>SUM(AF468,AF456:AF458)</f>
        <v>974403.63698063197</v>
      </c>
      <c r="AG469" s="6"/>
      <c r="AH469" s="6"/>
      <c r="AI469" s="6"/>
    </row>
    <row r="470" spans="1:35" ht="17.25" thickTop="1" x14ac:dyDescent="0.3">
      <c r="A470" s="28"/>
      <c r="B470" s="28"/>
      <c r="C470" s="29"/>
      <c r="D470" s="1"/>
      <c r="E470" s="20" t="s">
        <v>261</v>
      </c>
      <c r="F470" s="64"/>
      <c r="G470" s="64"/>
      <c r="H470" s="64"/>
      <c r="I470" s="64"/>
      <c r="J470" s="64"/>
      <c r="K470" s="64"/>
      <c r="L470" s="64"/>
      <c r="M470" s="64"/>
      <c r="N470" s="64"/>
      <c r="O470" s="64"/>
      <c r="P470" s="64"/>
      <c r="Q470" s="64"/>
      <c r="R470" s="64"/>
      <c r="S470" s="64"/>
      <c r="T470" s="64"/>
      <c r="U470" s="64"/>
      <c r="V470" s="64"/>
      <c r="X470" s="6"/>
      <c r="Y470" s="6"/>
      <c r="Z470" s="1"/>
      <c r="AA470" s="6"/>
      <c r="AB470" s="6"/>
      <c r="AC470" s="20" t="str">
        <f t="shared" si="141"/>
        <v>Re-classification of Revenue-Related</v>
      </c>
      <c r="AD470" s="6"/>
      <c r="AE470" s="64"/>
      <c r="AF470" s="64"/>
      <c r="AG470" s="6"/>
      <c r="AH470" s="6"/>
      <c r="AI470" s="6"/>
    </row>
    <row r="471" spans="1:35" ht="16.5" x14ac:dyDescent="0.3">
      <c r="A471" s="28"/>
      <c r="B471" s="28"/>
      <c r="C471" s="29"/>
      <c r="D471" s="1">
        <f>MAX(D468:D470)+NoOne</f>
        <v>53</v>
      </c>
      <c r="E471" s="6" t="s">
        <v>224</v>
      </c>
      <c r="F471" s="22">
        <f>SUM(G471:AF471)</f>
        <v>0</v>
      </c>
      <c r="G471" s="22">
        <f t="shared" ref="G471:V472" si="149">+G456/SUM($G456:$V456)*SUM($AE456,$AF456)</f>
        <v>401756.61154575559</v>
      </c>
      <c r="H471" s="22">
        <f t="shared" si="149"/>
        <v>356219.19541145134</v>
      </c>
      <c r="I471" s="22">
        <f t="shared" si="149"/>
        <v>54493.985764218109</v>
      </c>
      <c r="J471" s="22">
        <f t="shared" si="149"/>
        <v>0</v>
      </c>
      <c r="K471" s="22">
        <f t="shared" si="149"/>
        <v>0</v>
      </c>
      <c r="L471" s="22">
        <f t="shared" si="149"/>
        <v>0</v>
      </c>
      <c r="M471" s="22">
        <f t="shared" si="149"/>
        <v>0</v>
      </c>
      <c r="N471" s="22">
        <f t="shared" si="149"/>
        <v>0</v>
      </c>
      <c r="O471" s="22">
        <f t="shared" si="149"/>
        <v>0</v>
      </c>
      <c r="P471" s="22">
        <f t="shared" si="149"/>
        <v>0</v>
      </c>
      <c r="Q471" s="22">
        <f t="shared" si="149"/>
        <v>0</v>
      </c>
      <c r="R471" s="22">
        <f t="shared" si="149"/>
        <v>0</v>
      </c>
      <c r="S471" s="22">
        <f t="shared" si="149"/>
        <v>0</v>
      </c>
      <c r="T471" s="22">
        <f t="shared" si="149"/>
        <v>0</v>
      </c>
      <c r="U471" s="22">
        <f t="shared" si="149"/>
        <v>0</v>
      </c>
      <c r="V471" s="22">
        <f t="shared" si="149"/>
        <v>2212.2916989294954</v>
      </c>
      <c r="X471" s="6"/>
      <c r="Y471" s="6"/>
      <c r="Z471" s="6"/>
      <c r="AA471" s="6"/>
      <c r="AB471" s="6"/>
      <c r="AC471" s="6" t="str">
        <f t="shared" si="141"/>
        <v>Newfoundland Power</v>
      </c>
      <c r="AD471" s="6"/>
      <c r="AE471" s="22">
        <f>-AE456</f>
        <v>0</v>
      </c>
      <c r="AF471" s="22">
        <f t="shared" ref="AF471:AF482" si="150">-AF456</f>
        <v>-814682.08442035457</v>
      </c>
      <c r="AG471" s="6"/>
      <c r="AH471" s="6" t="s">
        <v>262</v>
      </c>
      <c r="AI471" s="6"/>
    </row>
    <row r="472" spans="1:35" ht="16.5" x14ac:dyDescent="0.3">
      <c r="A472" s="28"/>
      <c r="B472" s="28"/>
      <c r="C472" s="29"/>
      <c r="D472" s="1">
        <f>MAX(D469:D471)+NoOne</f>
        <v>54</v>
      </c>
      <c r="E472" s="17" t="s">
        <v>227</v>
      </c>
      <c r="F472" s="22">
        <f>SUM(G472:AF472)</f>
        <v>0</v>
      </c>
      <c r="G472" s="22">
        <f t="shared" si="149"/>
        <v>26776.3370025363</v>
      </c>
      <c r="H472" s="22">
        <f t="shared" si="149"/>
        <v>43131.821200430946</v>
      </c>
      <c r="I472" s="22">
        <f t="shared" si="149"/>
        <v>3536.6746545225819</v>
      </c>
      <c r="J472" s="22">
        <f t="shared" si="149"/>
        <v>0</v>
      </c>
      <c r="K472" s="22">
        <f t="shared" si="149"/>
        <v>0</v>
      </c>
      <c r="L472" s="22">
        <f t="shared" si="149"/>
        <v>0</v>
      </c>
      <c r="M472" s="22">
        <f t="shared" si="149"/>
        <v>0</v>
      </c>
      <c r="N472" s="22">
        <f t="shared" si="149"/>
        <v>0</v>
      </c>
      <c r="O472" s="22">
        <f t="shared" si="149"/>
        <v>0</v>
      </c>
      <c r="P472" s="22">
        <f t="shared" si="149"/>
        <v>0</v>
      </c>
      <c r="Q472" s="22">
        <f t="shared" si="149"/>
        <v>0</v>
      </c>
      <c r="R472" s="22">
        <f t="shared" si="149"/>
        <v>0</v>
      </c>
      <c r="S472" s="22">
        <f t="shared" si="149"/>
        <v>0</v>
      </c>
      <c r="T472" s="22">
        <f t="shared" si="149"/>
        <v>0</v>
      </c>
      <c r="U472" s="22">
        <f t="shared" si="149"/>
        <v>0</v>
      </c>
      <c r="V472" s="22">
        <f t="shared" si="149"/>
        <v>395.56878660428634</v>
      </c>
      <c r="X472" s="6"/>
      <c r="Y472" s="6"/>
      <c r="Z472" s="6"/>
      <c r="AA472" s="6"/>
      <c r="AB472" s="6"/>
      <c r="AC472" s="17" t="str">
        <f t="shared" si="141"/>
        <v>Industrial - Firm</v>
      </c>
      <c r="AD472" s="6"/>
      <c r="AE472" s="22">
        <f>-AE457</f>
        <v>0</v>
      </c>
      <c r="AF472" s="22">
        <f t="shared" si="150"/>
        <v>-73840.40164409412</v>
      </c>
      <c r="AG472" s="6"/>
      <c r="AH472" s="6" t="s">
        <v>263</v>
      </c>
      <c r="AI472" s="6"/>
    </row>
    <row r="473" spans="1:35" ht="16.5" x14ac:dyDescent="0.3">
      <c r="A473" s="28"/>
      <c r="B473" s="28"/>
      <c r="C473" s="29"/>
      <c r="D473" s="1">
        <f>MAX(D470:D472)+NoOne</f>
        <v>55</v>
      </c>
      <c r="E473" s="17" t="s">
        <v>229</v>
      </c>
      <c r="F473" s="22">
        <f>SUM(G473:AF473)</f>
        <v>0</v>
      </c>
      <c r="G473" s="22">
        <f>IF(G458=0,0,+G458/SUM($G458:$V458)*SUM($AE458,$AF458))</f>
        <v>0</v>
      </c>
      <c r="H473" s="22">
        <f t="shared" ref="H473:V473" si="151">IF(H458=0,0,H458/SUM($G458:$V458)*SUM($AE458,$AF458))</f>
        <v>0</v>
      </c>
      <c r="I473" s="22">
        <f t="shared" si="151"/>
        <v>0</v>
      </c>
      <c r="J473" s="22">
        <f t="shared" si="151"/>
        <v>0</v>
      </c>
      <c r="K473" s="22">
        <f t="shared" si="151"/>
        <v>0</v>
      </c>
      <c r="L473" s="22">
        <f t="shared" si="151"/>
        <v>0</v>
      </c>
      <c r="M473" s="22">
        <f t="shared" si="151"/>
        <v>0</v>
      </c>
      <c r="N473" s="22">
        <f t="shared" si="151"/>
        <v>0</v>
      </c>
      <c r="O473" s="22">
        <f t="shared" si="151"/>
        <v>0</v>
      </c>
      <c r="P473" s="22">
        <f t="shared" si="151"/>
        <v>0</v>
      </c>
      <c r="Q473" s="22">
        <f t="shared" si="151"/>
        <v>0</v>
      </c>
      <c r="R473" s="22">
        <f t="shared" si="151"/>
        <v>0</v>
      </c>
      <c r="S473" s="22">
        <f t="shared" si="151"/>
        <v>0</v>
      </c>
      <c r="T473" s="22">
        <f t="shared" si="151"/>
        <v>0</v>
      </c>
      <c r="U473" s="22">
        <f t="shared" si="151"/>
        <v>0</v>
      </c>
      <c r="V473" s="22">
        <f t="shared" si="151"/>
        <v>0</v>
      </c>
      <c r="X473" s="6"/>
      <c r="Y473" s="6"/>
      <c r="Z473" s="6"/>
      <c r="AA473" s="6"/>
      <c r="AB473" s="6"/>
      <c r="AC473" s="17" t="str">
        <f t="shared" si="141"/>
        <v>Industrial - Non-Firm</v>
      </c>
      <c r="AD473" s="6"/>
      <c r="AE473" s="22">
        <f>IF(AE458=0,0,AE458/SUM($G458:$V458)*SUM($AE458,$AF458))</f>
        <v>0</v>
      </c>
      <c r="AF473" s="22">
        <f t="shared" si="150"/>
        <v>0</v>
      </c>
      <c r="AG473" s="6"/>
      <c r="AH473" s="6"/>
      <c r="AI473" s="6"/>
    </row>
    <row r="474" spans="1:35" ht="16.5" x14ac:dyDescent="0.3">
      <c r="A474" s="28"/>
      <c r="B474" s="28"/>
      <c r="C474" s="29"/>
      <c r="D474" s="1"/>
      <c r="E474" s="20" t="s">
        <v>230</v>
      </c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X474" s="6"/>
      <c r="Y474" s="6"/>
      <c r="Z474" s="6"/>
      <c r="AA474" s="6"/>
      <c r="AB474" s="6"/>
      <c r="AC474" s="20" t="str">
        <f t="shared" si="141"/>
        <v>Rural</v>
      </c>
      <c r="AD474" s="6"/>
      <c r="AE474" s="22"/>
      <c r="AF474" s="22"/>
      <c r="AG474" s="6"/>
      <c r="AH474" s="6"/>
      <c r="AI474" s="6"/>
    </row>
    <row r="475" spans="1:35" ht="16.5" x14ac:dyDescent="0.3">
      <c r="A475" s="28"/>
      <c r="B475" s="28"/>
      <c r="C475" s="29"/>
      <c r="D475" s="1">
        <f t="shared" ref="D475:D484" si="152">MAX(D472:D474)+NoOne</f>
        <v>56</v>
      </c>
      <c r="E475" s="17" t="s">
        <v>232</v>
      </c>
      <c r="F475" s="22">
        <f t="shared" ref="F475:F482" si="153">SUM(G475:AF475)</f>
        <v>5.0931703299283981E-11</v>
      </c>
      <c r="G475" s="22">
        <f>+G460/SUM($G460:$V460)*SUM($AE460,$AF460)</f>
        <v>123995.07731318256</v>
      </c>
      <c r="H475" s="22">
        <f t="shared" ref="H475:V475" si="154">+H460/SUM($G460:$V460)*SUM($AE460,$AF460)</f>
        <v>95652.812150636193</v>
      </c>
      <c r="I475" s="22">
        <f t="shared" si="154"/>
        <v>16377.529427477793</v>
      </c>
      <c r="J475" s="22">
        <f t="shared" si="154"/>
        <v>34775.513832850964</v>
      </c>
      <c r="K475" s="22">
        <f t="shared" si="154"/>
        <v>28204.853371342015</v>
      </c>
      <c r="L475" s="22">
        <f t="shared" si="154"/>
        <v>38305.638373964852</v>
      </c>
      <c r="M475" s="22">
        <f t="shared" si="154"/>
        <v>15408.092666634011</v>
      </c>
      <c r="N475" s="22">
        <f t="shared" si="154"/>
        <v>3762.9422232146358</v>
      </c>
      <c r="O475" s="22">
        <f t="shared" si="154"/>
        <v>9412.8258749201832</v>
      </c>
      <c r="P475" s="22">
        <f t="shared" si="154"/>
        <v>5641.3762954735048</v>
      </c>
      <c r="Q475" s="22">
        <f t="shared" si="154"/>
        <v>9090.3914040139571</v>
      </c>
      <c r="R475" s="22">
        <f t="shared" si="154"/>
        <v>1711.557089277298</v>
      </c>
      <c r="S475" s="22">
        <f t="shared" si="154"/>
        <v>5788.6337100635874</v>
      </c>
      <c r="T475" s="22">
        <f t="shared" si="154"/>
        <v>0</v>
      </c>
      <c r="U475" s="22">
        <f t="shared" si="154"/>
        <v>19038.228560207262</v>
      </c>
      <c r="V475" s="22">
        <f t="shared" si="154"/>
        <v>0</v>
      </c>
      <c r="X475" s="6"/>
      <c r="Y475" s="6"/>
      <c r="Z475" s="6"/>
      <c r="AA475" s="6"/>
      <c r="AB475" s="6"/>
      <c r="AC475" s="17" t="str">
        <f t="shared" si="141"/>
        <v>1.1 Domestic</v>
      </c>
      <c r="AD475" s="6"/>
      <c r="AE475" s="22">
        <f t="shared" ref="AE475:AE482" si="155">-AE460</f>
        <v>-384122.60818268097</v>
      </c>
      <c r="AF475" s="22">
        <f t="shared" si="150"/>
        <v>-23042.864110577801</v>
      </c>
      <c r="AG475" s="6"/>
      <c r="AH475" s="6"/>
      <c r="AI475" s="6"/>
    </row>
    <row r="476" spans="1:35" ht="16.5" x14ac:dyDescent="0.3">
      <c r="A476" s="28"/>
      <c r="B476" s="28"/>
      <c r="C476" s="29"/>
      <c r="D476" s="1">
        <f t="shared" si="152"/>
        <v>57</v>
      </c>
      <c r="E476" s="17" t="s">
        <v>234</v>
      </c>
      <c r="F476" s="22">
        <f t="shared" si="153"/>
        <v>1.6007106751203537E-10</v>
      </c>
      <c r="G476" s="22">
        <f t="shared" ref="G476:V478" si="156">+G461/SUM($G461:$V461)*SUM($AE461,$AF461)</f>
        <v>159147.9514714145</v>
      </c>
      <c r="H476" s="22">
        <f t="shared" si="156"/>
        <v>142602.92918317395</v>
      </c>
      <c r="I476" s="22">
        <f t="shared" si="156"/>
        <v>21020.594647984413</v>
      </c>
      <c r="J476" s="22">
        <f t="shared" si="156"/>
        <v>44634.44765541247</v>
      </c>
      <c r="K476" s="22">
        <f t="shared" si="156"/>
        <v>36200.990659195144</v>
      </c>
      <c r="L476" s="22">
        <f t="shared" si="156"/>
        <v>49165.370183395062</v>
      </c>
      <c r="M476" s="22">
        <f t="shared" si="156"/>
        <v>12916.789400719947</v>
      </c>
      <c r="N476" s="22">
        <f t="shared" si="156"/>
        <v>4829.7445294324689</v>
      </c>
      <c r="O476" s="22">
        <f t="shared" si="156"/>
        <v>7890.885142148627</v>
      </c>
      <c r="P476" s="22">
        <f t="shared" si="156"/>
        <v>7240.7187475381688</v>
      </c>
      <c r="Q476" s="22">
        <f t="shared" si="156"/>
        <v>7620.5844471607816</v>
      </c>
      <c r="R476" s="22">
        <f t="shared" si="156"/>
        <v>1434.8188934103598</v>
      </c>
      <c r="S476" s="22">
        <f t="shared" si="156"/>
        <v>4852.6812609787867</v>
      </c>
      <c r="T476" s="22">
        <f t="shared" si="156"/>
        <v>0</v>
      </c>
      <c r="U476" s="22">
        <f t="shared" si="156"/>
        <v>15959.975981160171</v>
      </c>
      <c r="V476" s="22">
        <f t="shared" si="156"/>
        <v>0</v>
      </c>
      <c r="X476" s="6"/>
      <c r="Y476" s="6"/>
      <c r="Z476" s="6"/>
      <c r="AA476" s="6"/>
      <c r="AB476" s="6"/>
      <c r="AC476" s="17" t="str">
        <f t="shared" si="141"/>
        <v xml:space="preserve">1.12 Domestic All Electric </v>
      </c>
      <c r="AD476" s="6"/>
      <c r="AE476" s="22">
        <f t="shared" si="155"/>
        <v>-486343.55667470931</v>
      </c>
      <c r="AF476" s="22">
        <f t="shared" si="150"/>
        <v>-29174.925528415435</v>
      </c>
      <c r="AG476" s="6"/>
      <c r="AH476" s="6"/>
      <c r="AI476" s="6"/>
    </row>
    <row r="477" spans="1:35" ht="16.5" x14ac:dyDescent="0.3">
      <c r="A477" s="28"/>
      <c r="B477" s="28"/>
      <c r="C477" s="29"/>
      <c r="D477" s="1">
        <f t="shared" si="152"/>
        <v>58</v>
      </c>
      <c r="E477" s="17" t="s">
        <v>236</v>
      </c>
      <c r="F477" s="22">
        <f t="shared" si="153"/>
        <v>3.0553337637684308E-13</v>
      </c>
      <c r="G477" s="22">
        <f t="shared" si="156"/>
        <v>216.06943837194603</v>
      </c>
      <c r="H477" s="22">
        <f t="shared" si="156"/>
        <v>131.38074248365533</v>
      </c>
      <c r="I477" s="22">
        <f t="shared" si="156"/>
        <v>28.538903817748018</v>
      </c>
      <c r="J477" s="22">
        <f t="shared" si="156"/>
        <v>60.598581054806978</v>
      </c>
      <c r="K477" s="22">
        <f t="shared" si="156"/>
        <v>49.148780414212887</v>
      </c>
      <c r="L477" s="22">
        <f t="shared" si="156"/>
        <v>66.750051286604702</v>
      </c>
      <c r="M477" s="22">
        <f t="shared" si="156"/>
        <v>0.58074860981487475</v>
      </c>
      <c r="N477" s="22">
        <f t="shared" si="156"/>
        <v>6.5571700942810596</v>
      </c>
      <c r="O477" s="22">
        <f t="shared" si="156"/>
        <v>0.35478015738618768</v>
      </c>
      <c r="P477" s="22">
        <f t="shared" si="156"/>
        <v>9.8304629040154587</v>
      </c>
      <c r="Q477" s="22">
        <f t="shared" si="156"/>
        <v>0.34262723393313244</v>
      </c>
      <c r="R477" s="22">
        <f t="shared" si="156"/>
        <v>6.4510541422757819E-2</v>
      </c>
      <c r="S477" s="22">
        <f t="shared" si="156"/>
        <v>0.21818021559065179</v>
      </c>
      <c r="T477" s="22">
        <f t="shared" si="156"/>
        <v>0</v>
      </c>
      <c r="U477" s="22">
        <f t="shared" si="156"/>
        <v>0.71757257753393</v>
      </c>
      <c r="V477" s="22">
        <f t="shared" si="156"/>
        <v>0</v>
      </c>
      <c r="X477" s="6"/>
      <c r="Y477" s="6"/>
      <c r="Z477" s="6"/>
      <c r="AA477" s="6"/>
      <c r="AB477" s="6"/>
      <c r="AC477" s="17" t="str">
        <f t="shared" si="141"/>
        <v>1.3 Special</v>
      </c>
      <c r="AD477" s="6"/>
      <c r="AE477" s="22">
        <f t="shared" si="155"/>
        <v>-538.82910515338892</v>
      </c>
      <c r="AF477" s="22">
        <f t="shared" si="150"/>
        <v>-32.323444609563047</v>
      </c>
      <c r="AG477" s="6"/>
      <c r="AH477" s="6"/>
      <c r="AI477" s="6"/>
    </row>
    <row r="478" spans="1:35" ht="16.5" x14ac:dyDescent="0.3">
      <c r="A478" s="28"/>
      <c r="B478" s="28"/>
      <c r="C478" s="29"/>
      <c r="D478" s="1">
        <f t="shared" si="152"/>
        <v>59</v>
      </c>
      <c r="E478" s="17" t="s">
        <v>238</v>
      </c>
      <c r="F478" s="22">
        <f t="shared" si="153"/>
        <v>-3.8198777474462986E-11</v>
      </c>
      <c r="G478" s="22">
        <f t="shared" si="156"/>
        <v>79047.138077997486</v>
      </c>
      <c r="H478" s="22">
        <f t="shared" si="156"/>
        <v>88664.878729008182</v>
      </c>
      <c r="I478" s="22">
        <f t="shared" si="156"/>
        <v>10440.711503090202</v>
      </c>
      <c r="J478" s="22">
        <f t="shared" si="156"/>
        <v>22169.467556648164</v>
      </c>
      <c r="K478" s="22">
        <f t="shared" si="156"/>
        <v>17980.656871424962</v>
      </c>
      <c r="L478" s="22">
        <f t="shared" si="156"/>
        <v>24419.929817574466</v>
      </c>
      <c r="M478" s="22">
        <f t="shared" si="156"/>
        <v>5646.2752444223133</v>
      </c>
      <c r="N478" s="22">
        <f t="shared" si="156"/>
        <v>2398.8840520393032</v>
      </c>
      <c r="O478" s="22">
        <f t="shared" si="156"/>
        <v>3449.3176324613851</v>
      </c>
      <c r="P478" s="22">
        <f t="shared" si="156"/>
        <v>3596.389958707065</v>
      </c>
      <c r="Q478" s="22">
        <f t="shared" si="156"/>
        <v>3331.1619456794242</v>
      </c>
      <c r="R478" s="22">
        <f t="shared" si="156"/>
        <v>2991.8122067433987</v>
      </c>
      <c r="S478" s="22">
        <f t="shared" si="156"/>
        <v>10118.566948559848</v>
      </c>
      <c r="T478" s="22">
        <f t="shared" si="156"/>
        <v>0</v>
      </c>
      <c r="U478" s="22">
        <f t="shared" si="156"/>
        <v>6976.5337568309851</v>
      </c>
      <c r="V478" s="22">
        <f t="shared" si="156"/>
        <v>0</v>
      </c>
      <c r="X478" s="6"/>
      <c r="Y478" s="6"/>
      <c r="Z478" s="6"/>
      <c r="AA478" s="6"/>
      <c r="AB478" s="6"/>
      <c r="AC478" s="17" t="str">
        <f t="shared" si="141"/>
        <v>2.1 GS 0-10 kW</v>
      </c>
      <c r="AD478" s="6"/>
      <c r="AE478" s="22">
        <f t="shared" si="155"/>
        <v>-265315.8747323213</v>
      </c>
      <c r="AF478" s="22">
        <f t="shared" si="150"/>
        <v>-15915.849568865882</v>
      </c>
      <c r="AG478" s="6"/>
      <c r="AH478" s="6"/>
      <c r="AI478" s="6"/>
    </row>
    <row r="479" spans="1:35" ht="16.5" x14ac:dyDescent="0.3">
      <c r="A479" s="28"/>
      <c r="B479" s="28"/>
      <c r="C479" s="29"/>
      <c r="D479" s="1">
        <f t="shared" si="152"/>
        <v>60</v>
      </c>
      <c r="E479" s="17" t="s">
        <v>240</v>
      </c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X479" s="6"/>
      <c r="Y479" s="6"/>
      <c r="Z479" s="6"/>
      <c r="AA479" s="6"/>
      <c r="AB479" s="6"/>
      <c r="AC479" s="17" t="str">
        <f t="shared" si="141"/>
        <v>2.2 GS 10-100 kW</v>
      </c>
      <c r="AD479" s="6"/>
      <c r="AE479" s="22">
        <f t="shared" si="155"/>
        <v>0</v>
      </c>
      <c r="AF479" s="22">
        <f t="shared" si="150"/>
        <v>0</v>
      </c>
      <c r="AG479" s="6"/>
      <c r="AH479" s="6"/>
      <c r="AI479" s="6"/>
    </row>
    <row r="480" spans="1:35" ht="16.5" x14ac:dyDescent="0.3">
      <c r="A480" s="28"/>
      <c r="B480" s="28"/>
      <c r="C480" s="29"/>
      <c r="D480" s="1">
        <f t="shared" si="152"/>
        <v>61</v>
      </c>
      <c r="E480" s="17" t="s">
        <v>242</v>
      </c>
      <c r="F480" s="22">
        <f t="shared" si="153"/>
        <v>-6.730260793119669E-11</v>
      </c>
      <c r="G480" s="22">
        <f t="shared" ref="G480:V482" si="157">+G465/SUM($G465:$V465)*SUM($AE465,$AF465)</f>
        <v>55218.962155692869</v>
      </c>
      <c r="H480" s="22">
        <f t="shared" si="157"/>
        <v>69737.945294790887</v>
      </c>
      <c r="I480" s="22">
        <f t="shared" si="157"/>
        <v>7293.4361367868314</v>
      </c>
      <c r="J480" s="22">
        <f t="shared" si="157"/>
        <v>15486.645307948993</v>
      </c>
      <c r="K480" s="22">
        <f t="shared" si="157"/>
        <v>12560.520664745951</v>
      </c>
      <c r="L480" s="22">
        <f t="shared" si="157"/>
        <v>17058.722342493704</v>
      </c>
      <c r="M480" s="22">
        <f t="shared" si="157"/>
        <v>163.74689619709451</v>
      </c>
      <c r="N480" s="22">
        <f t="shared" si="157"/>
        <v>1553.8883587999876</v>
      </c>
      <c r="O480" s="22">
        <f t="shared" si="157"/>
        <v>100.03321337751217</v>
      </c>
      <c r="P480" s="22">
        <f t="shared" si="157"/>
        <v>2329.5784078389943</v>
      </c>
      <c r="Q480" s="22">
        <f t="shared" si="157"/>
        <v>96.606595626687024</v>
      </c>
      <c r="R480" s="22">
        <f t="shared" si="157"/>
        <v>153.14342490974917</v>
      </c>
      <c r="S480" s="22">
        <f t="shared" si="157"/>
        <v>517.94427276830424</v>
      </c>
      <c r="T480" s="22">
        <f t="shared" si="157"/>
        <v>0</v>
      </c>
      <c r="U480" s="22">
        <f t="shared" si="157"/>
        <v>202.3255508175655</v>
      </c>
      <c r="V480" s="22">
        <f t="shared" si="157"/>
        <v>0</v>
      </c>
      <c r="X480" s="6"/>
      <c r="Y480" s="6"/>
      <c r="Z480" s="6"/>
      <c r="AA480" s="6"/>
      <c r="AB480" s="6"/>
      <c r="AC480" s="17" t="str">
        <f t="shared" si="141"/>
        <v>2.3 GS 110-1,000 kVa</v>
      </c>
      <c r="AD480" s="6"/>
      <c r="AE480" s="22">
        <f t="shared" si="155"/>
        <v>-172146.70934750428</v>
      </c>
      <c r="AF480" s="22">
        <f t="shared" si="150"/>
        <v>-10326.78927529089</v>
      </c>
      <c r="AG480" s="6"/>
      <c r="AH480" s="6"/>
      <c r="AI480" s="6"/>
    </row>
    <row r="481" spans="1:35" ht="16.5" x14ac:dyDescent="0.3">
      <c r="A481" s="28"/>
      <c r="B481" s="28"/>
      <c r="C481" s="29"/>
      <c r="D481" s="1">
        <f t="shared" si="152"/>
        <v>62</v>
      </c>
      <c r="E481" s="17" t="s">
        <v>244</v>
      </c>
      <c r="F481" s="22">
        <f t="shared" si="153"/>
        <v>-7.2759576141834259E-12</v>
      </c>
      <c r="G481" s="22">
        <f t="shared" si="157"/>
        <v>28533.712911055492</v>
      </c>
      <c r="H481" s="22">
        <f t="shared" si="157"/>
        <v>44420.447441706077</v>
      </c>
      <c r="I481" s="22">
        <f t="shared" si="157"/>
        <v>3768.7925440434569</v>
      </c>
      <c r="J481" s="22">
        <f t="shared" si="157"/>
        <v>8002.5316290158453</v>
      </c>
      <c r="K481" s="22">
        <f t="shared" si="157"/>
        <v>6490.4930601686683</v>
      </c>
      <c r="L481" s="22">
        <f t="shared" si="157"/>
        <v>8814.8829124623699</v>
      </c>
      <c r="M481" s="22">
        <f t="shared" si="157"/>
        <v>13.887141644549684</v>
      </c>
      <c r="N481" s="22">
        <f t="shared" si="157"/>
        <v>357.39478417043705</v>
      </c>
      <c r="O481" s="22">
        <f t="shared" si="157"/>
        <v>8.4836747174791522</v>
      </c>
      <c r="P481" s="22">
        <f t="shared" si="157"/>
        <v>535.80372590003765</v>
      </c>
      <c r="Q481" s="22">
        <f t="shared" si="157"/>
        <v>8.19306813394941</v>
      </c>
      <c r="R481" s="22">
        <f t="shared" si="157"/>
        <v>12.98787630816102</v>
      </c>
      <c r="S481" s="22">
        <f t="shared" si="157"/>
        <v>43.926117972087383</v>
      </c>
      <c r="T481" s="22">
        <f t="shared" si="157"/>
        <v>0</v>
      </c>
      <c r="U481" s="22">
        <f t="shared" si="157"/>
        <v>17.158942537348217</v>
      </c>
      <c r="V481" s="22">
        <f t="shared" si="157"/>
        <v>0</v>
      </c>
      <c r="X481" s="6"/>
      <c r="Y481" s="6"/>
      <c r="Z481" s="6"/>
      <c r="AA481" s="6"/>
      <c r="AB481" s="6"/>
      <c r="AC481" s="17" t="str">
        <f t="shared" si="141"/>
        <v>2.4 GS Over 1,000 kVa</v>
      </c>
      <c r="AD481" s="6"/>
      <c r="AE481" s="22">
        <f t="shared" si="155"/>
        <v>-95311.141990695411</v>
      </c>
      <c r="AF481" s="22">
        <f t="shared" si="150"/>
        <v>-5717.5538391405789</v>
      </c>
      <c r="AG481" s="6"/>
      <c r="AH481" s="6"/>
      <c r="AI481" s="6"/>
    </row>
    <row r="482" spans="1:35" ht="16.5" x14ac:dyDescent="0.3">
      <c r="A482" s="28"/>
      <c r="B482" s="28"/>
      <c r="C482" s="29"/>
      <c r="D482" s="1">
        <f t="shared" si="152"/>
        <v>63</v>
      </c>
      <c r="E482" s="17" t="s">
        <v>246</v>
      </c>
      <c r="F482" s="34">
        <f t="shared" si="153"/>
        <v>0</v>
      </c>
      <c r="G482" s="22">
        <f t="shared" si="157"/>
        <v>3956.5193059577891</v>
      </c>
      <c r="H482" s="22">
        <f t="shared" si="157"/>
        <v>3058.416599068129</v>
      </c>
      <c r="I482" s="22">
        <f t="shared" si="157"/>
        <v>522.58535393339116</v>
      </c>
      <c r="J482" s="22">
        <f t="shared" si="157"/>
        <v>1109.640760227576</v>
      </c>
      <c r="K482" s="22">
        <f t="shared" si="157"/>
        <v>899.97965486617989</v>
      </c>
      <c r="L482" s="22">
        <f t="shared" si="157"/>
        <v>1222.2823763465376</v>
      </c>
      <c r="M482" s="22">
        <f t="shared" si="157"/>
        <v>2372.6997910722798</v>
      </c>
      <c r="N482" s="22">
        <f t="shared" si="157"/>
        <v>120.07052115261348</v>
      </c>
      <c r="O482" s="22">
        <f t="shared" si="157"/>
        <v>1449.4857001468065</v>
      </c>
      <c r="P482" s="22">
        <f t="shared" si="157"/>
        <v>180.00887381067491</v>
      </c>
      <c r="Q482" s="22">
        <f t="shared" si="157"/>
        <v>1399.8338569040418</v>
      </c>
      <c r="R482" s="22">
        <f t="shared" si="157"/>
        <v>0</v>
      </c>
      <c r="S482" s="22">
        <f t="shared" si="157"/>
        <v>0</v>
      </c>
      <c r="T482" s="22">
        <f t="shared" si="157"/>
        <v>10300.46436699641</v>
      </c>
      <c r="U482" s="22">
        <f t="shared" si="157"/>
        <v>2931.7062081933973</v>
      </c>
      <c r="V482" s="22">
        <f t="shared" si="157"/>
        <v>0</v>
      </c>
      <c r="X482" s="6"/>
      <c r="Y482" s="6"/>
      <c r="Z482" s="6"/>
      <c r="AA482" s="6"/>
      <c r="AB482" s="6"/>
      <c r="AC482" s="17" t="str">
        <f t="shared" si="141"/>
        <v>4.1 Street and Area Lighting</v>
      </c>
      <c r="AD482" s="6"/>
      <c r="AE482" s="22">
        <f t="shared" si="155"/>
        <v>-27852.848219392701</v>
      </c>
      <c r="AF482" s="22">
        <f t="shared" si="150"/>
        <v>-1670.8451492831248</v>
      </c>
      <c r="AG482" s="6"/>
      <c r="AH482" s="6"/>
      <c r="AI482" s="6"/>
    </row>
    <row r="483" spans="1:35" ht="16.5" x14ac:dyDescent="0.3">
      <c r="A483" s="28"/>
      <c r="B483" s="28"/>
      <c r="C483" s="29"/>
      <c r="D483" s="1">
        <f t="shared" si="152"/>
        <v>64</v>
      </c>
      <c r="E483" s="20" t="s">
        <v>247</v>
      </c>
      <c r="F483" s="30">
        <f>SUM(F475:F482)</f>
        <v>9.8530961167853093E-11</v>
      </c>
      <c r="G483" s="30">
        <f>SUM(G475:G482)</f>
        <v>450115.43067367258</v>
      </c>
      <c r="H483" s="30">
        <f>SUM(H475:H482)</f>
        <v>444268.81014086714</v>
      </c>
      <c r="I483" s="30">
        <f>SUM(I475:I482)</f>
        <v>59452.188517133836</v>
      </c>
      <c r="J483" s="30">
        <f t="shared" ref="J483:V483" si="158">SUM(J475:J482)</f>
        <v>126238.84532315881</v>
      </c>
      <c r="K483" s="30">
        <f t="shared" si="158"/>
        <v>102386.64306215715</v>
      </c>
      <c r="L483" s="30">
        <f t="shared" si="158"/>
        <v>139053.57605752361</v>
      </c>
      <c r="M483" s="30">
        <f t="shared" si="158"/>
        <v>36522.071889300008</v>
      </c>
      <c r="N483" s="30">
        <f t="shared" si="158"/>
        <v>13029.48163890373</v>
      </c>
      <c r="O483" s="30">
        <f t="shared" si="158"/>
        <v>22311.386017929381</v>
      </c>
      <c r="P483" s="30">
        <f t="shared" si="158"/>
        <v>19533.706472172464</v>
      </c>
      <c r="Q483" s="30">
        <f t="shared" si="158"/>
        <v>21547.113944752778</v>
      </c>
      <c r="R483" s="30">
        <f t="shared" si="158"/>
        <v>6304.3840011903894</v>
      </c>
      <c r="S483" s="30">
        <f t="shared" si="158"/>
        <v>21321.970490558208</v>
      </c>
      <c r="T483" s="30">
        <f t="shared" si="158"/>
        <v>10300.46436699641</v>
      </c>
      <c r="U483" s="30">
        <f t="shared" si="158"/>
        <v>45126.646572324258</v>
      </c>
      <c r="V483" s="30">
        <f t="shared" si="158"/>
        <v>0</v>
      </c>
      <c r="X483" s="6"/>
      <c r="Y483" s="6"/>
      <c r="Z483" s="6"/>
      <c r="AA483" s="6"/>
      <c r="AB483" s="6"/>
      <c r="AC483" s="20" t="str">
        <f t="shared" si="141"/>
        <v xml:space="preserve">    Subtotal Rural</v>
      </c>
      <c r="AD483" s="6"/>
      <c r="AE483" s="30">
        <f>SUM(AE475:AE482)</f>
        <v>-1431631.5682524573</v>
      </c>
      <c r="AF483" s="30">
        <f>SUM(AF475:AF482)</f>
        <v>-85881.15091618328</v>
      </c>
      <c r="AG483" s="6"/>
      <c r="AH483" s="6"/>
      <c r="AI483" s="6"/>
    </row>
    <row r="484" spans="1:35" ht="17.25" thickBot="1" x14ac:dyDescent="0.35">
      <c r="A484" s="28">
        <f>(SUM(G484:AF484)-F484)*1000</f>
        <v>-9.8530961167853093E-8</v>
      </c>
      <c r="B484" s="28"/>
      <c r="C484" s="29"/>
      <c r="D484" s="1">
        <f t="shared" si="152"/>
        <v>65</v>
      </c>
      <c r="E484" s="20" t="s">
        <v>248</v>
      </c>
      <c r="F484" s="55">
        <f>SUM(F483,F471:F473)</f>
        <v>9.8530961167853093E-11</v>
      </c>
      <c r="G484" s="55">
        <f>SUM(G483,G471:G473)</f>
        <v>878648.37922196439</v>
      </c>
      <c r="H484" s="55">
        <f>SUM(H483,H471:H473)</f>
        <v>843619.82675274939</v>
      </c>
      <c r="I484" s="55">
        <f>SUM(I483,I471:I473)</f>
        <v>117482.84893587451</v>
      </c>
      <c r="J484" s="55">
        <f t="shared" ref="J484:V484" si="159">SUM(J483,J471:J473)</f>
        <v>126238.84532315881</v>
      </c>
      <c r="K484" s="55">
        <f t="shared" si="159"/>
        <v>102386.64306215715</v>
      </c>
      <c r="L484" s="55">
        <f t="shared" si="159"/>
        <v>139053.57605752361</v>
      </c>
      <c r="M484" s="55">
        <f t="shared" si="159"/>
        <v>36522.071889300008</v>
      </c>
      <c r="N484" s="55">
        <f t="shared" si="159"/>
        <v>13029.48163890373</v>
      </c>
      <c r="O484" s="55">
        <f t="shared" si="159"/>
        <v>22311.386017929381</v>
      </c>
      <c r="P484" s="55">
        <f t="shared" si="159"/>
        <v>19533.706472172464</v>
      </c>
      <c r="Q484" s="55">
        <f t="shared" si="159"/>
        <v>21547.113944752778</v>
      </c>
      <c r="R484" s="55">
        <f t="shared" si="159"/>
        <v>6304.3840011903894</v>
      </c>
      <c r="S484" s="55">
        <f t="shared" si="159"/>
        <v>21321.970490558208</v>
      </c>
      <c r="T484" s="55">
        <f t="shared" si="159"/>
        <v>10300.46436699641</v>
      </c>
      <c r="U484" s="55">
        <f t="shared" si="159"/>
        <v>45126.646572324258</v>
      </c>
      <c r="V484" s="55">
        <f t="shared" si="159"/>
        <v>2607.8604855337817</v>
      </c>
      <c r="X484" s="6"/>
      <c r="Y484" s="6"/>
      <c r="Z484" s="6"/>
      <c r="AA484" s="6"/>
      <c r="AB484" s="6"/>
      <c r="AC484" s="20" t="str">
        <f t="shared" si="141"/>
        <v xml:space="preserve">      Total</v>
      </c>
      <c r="AD484" s="6"/>
      <c r="AE484" s="55">
        <f>SUM(AE483,AE471:AE473)</f>
        <v>-1431631.5682524573</v>
      </c>
      <c r="AF484" s="55">
        <f>SUM(AF483,AF471:AF473)</f>
        <v>-974403.63698063197</v>
      </c>
      <c r="AG484" s="6"/>
      <c r="AH484" s="6"/>
      <c r="AI484" s="6"/>
    </row>
    <row r="485" spans="1:35" ht="17.25" thickTop="1" x14ac:dyDescent="0.3">
      <c r="A485" s="28"/>
      <c r="B485" s="28"/>
      <c r="C485" s="29"/>
      <c r="D485" s="1"/>
      <c r="E485" s="20" t="s">
        <v>264</v>
      </c>
      <c r="F485" s="64"/>
      <c r="G485" s="64"/>
      <c r="H485" s="64"/>
      <c r="I485" s="64"/>
      <c r="J485" s="64"/>
      <c r="K485" s="64"/>
      <c r="L485" s="64"/>
      <c r="M485" s="64"/>
      <c r="N485" s="64"/>
      <c r="O485" s="64"/>
      <c r="P485" s="64"/>
      <c r="Q485" s="64"/>
      <c r="R485" s="64"/>
      <c r="S485" s="64"/>
      <c r="T485" s="64"/>
      <c r="U485" s="64"/>
      <c r="V485" s="64"/>
      <c r="X485" s="6"/>
      <c r="Y485" s="6"/>
      <c r="Z485" s="6"/>
      <c r="AA485" s="6"/>
      <c r="AB485" s="6"/>
      <c r="AC485" s="20" t="str">
        <f t="shared" si="141"/>
        <v>Total Allocated Revenue Requirement</v>
      </c>
      <c r="AD485" s="6"/>
      <c r="AE485" s="64"/>
      <c r="AF485" s="64"/>
      <c r="AG485" s="6"/>
      <c r="AH485" s="6"/>
      <c r="AI485" s="6"/>
    </row>
    <row r="486" spans="1:35" ht="16.5" x14ac:dyDescent="0.3">
      <c r="A486" s="28"/>
      <c r="B486" s="28"/>
      <c r="C486" s="29"/>
      <c r="D486" s="1">
        <f>MAX(D483:D485)+NoOne</f>
        <v>66</v>
      </c>
      <c r="E486" s="6" t="s">
        <v>224</v>
      </c>
      <c r="F486" s="22">
        <f>SUM(G486:AF486)</f>
        <v>1009624140.6639924</v>
      </c>
      <c r="G486" s="22">
        <f t="shared" ref="G486:V488" si="160">SUM(G456,G471)</f>
        <v>497891363.3243345</v>
      </c>
      <c r="H486" s="22">
        <f t="shared" si="160"/>
        <v>441457478.85347712</v>
      </c>
      <c r="I486" s="22">
        <f t="shared" si="160"/>
        <v>67533636.249899998</v>
      </c>
      <c r="J486" s="22">
        <f t="shared" si="160"/>
        <v>0</v>
      </c>
      <c r="K486" s="22">
        <f t="shared" si="160"/>
        <v>0</v>
      </c>
      <c r="L486" s="22">
        <f t="shared" si="160"/>
        <v>0</v>
      </c>
      <c r="M486" s="22">
        <f t="shared" si="160"/>
        <v>0</v>
      </c>
      <c r="N486" s="22">
        <f t="shared" si="160"/>
        <v>0</v>
      </c>
      <c r="O486" s="22">
        <f t="shared" si="160"/>
        <v>0</v>
      </c>
      <c r="P486" s="22">
        <f t="shared" si="160"/>
        <v>0</v>
      </c>
      <c r="Q486" s="22">
        <f t="shared" si="160"/>
        <v>0</v>
      </c>
      <c r="R486" s="22">
        <f t="shared" si="160"/>
        <v>0</v>
      </c>
      <c r="S486" s="22">
        <f t="shared" si="160"/>
        <v>0</v>
      </c>
      <c r="T486" s="22">
        <f t="shared" si="160"/>
        <v>0</v>
      </c>
      <c r="U486" s="22">
        <f t="shared" si="160"/>
        <v>0</v>
      </c>
      <c r="V486" s="22">
        <f t="shared" si="160"/>
        <v>2741662.2362807542</v>
      </c>
      <c r="X486" s="6"/>
      <c r="Y486" s="6"/>
      <c r="Z486" s="6"/>
      <c r="AA486" s="6"/>
      <c r="AB486" s="6"/>
      <c r="AC486" s="6" t="str">
        <f t="shared" si="141"/>
        <v>Newfoundland Power</v>
      </c>
      <c r="AD486" s="6"/>
      <c r="AE486" s="22">
        <f t="shared" ref="AE486:AF488" si="161">SUM(AE456,AE471)</f>
        <v>0</v>
      </c>
      <c r="AF486" s="22">
        <f t="shared" si="161"/>
        <v>0</v>
      </c>
      <c r="AG486" s="6"/>
      <c r="AH486" s="6"/>
      <c r="AI486" s="6"/>
    </row>
    <row r="487" spans="1:35" ht="16.5" x14ac:dyDescent="0.3">
      <c r="A487" s="28"/>
      <c r="B487" s="28"/>
      <c r="C487" s="29"/>
      <c r="D487" s="1">
        <f>MAX(D484:D486)+NoOne</f>
        <v>67</v>
      </c>
      <c r="E487" s="17" t="s">
        <v>227</v>
      </c>
      <c r="F487" s="22">
        <f>SUM(G487:AF487)</f>
        <v>77084808.23695381</v>
      </c>
      <c r="G487" s="22">
        <f t="shared" si="160"/>
        <v>27952838.245343529</v>
      </c>
      <c r="H487" s="22">
        <f t="shared" si="160"/>
        <v>45026951.264040455</v>
      </c>
      <c r="I487" s="22">
        <f t="shared" si="160"/>
        <v>3692069.4019839885</v>
      </c>
      <c r="J487" s="22">
        <f t="shared" si="160"/>
        <v>0</v>
      </c>
      <c r="K487" s="22">
        <f t="shared" si="160"/>
        <v>0</v>
      </c>
      <c r="L487" s="22">
        <f t="shared" si="160"/>
        <v>0</v>
      </c>
      <c r="M487" s="22">
        <f t="shared" si="160"/>
        <v>0</v>
      </c>
      <c r="N487" s="22">
        <f t="shared" si="160"/>
        <v>0</v>
      </c>
      <c r="O487" s="22">
        <f t="shared" si="160"/>
        <v>0</v>
      </c>
      <c r="P487" s="22">
        <f t="shared" si="160"/>
        <v>0</v>
      </c>
      <c r="Q487" s="22">
        <f t="shared" si="160"/>
        <v>0</v>
      </c>
      <c r="R487" s="22">
        <f t="shared" si="160"/>
        <v>0</v>
      </c>
      <c r="S487" s="22">
        <f t="shared" si="160"/>
        <v>0</v>
      </c>
      <c r="T487" s="22">
        <f t="shared" si="160"/>
        <v>0</v>
      </c>
      <c r="U487" s="22">
        <f t="shared" si="160"/>
        <v>0</v>
      </c>
      <c r="V487" s="22">
        <f t="shared" si="160"/>
        <v>412949.3255858359</v>
      </c>
      <c r="X487" s="6"/>
      <c r="Y487" s="6"/>
      <c r="Z487" s="6"/>
      <c r="AA487" s="6"/>
      <c r="AB487" s="6"/>
      <c r="AC487" s="17" t="str">
        <f t="shared" si="141"/>
        <v>Industrial - Firm</v>
      </c>
      <c r="AD487" s="6"/>
      <c r="AE487" s="22">
        <f t="shared" si="161"/>
        <v>0</v>
      </c>
      <c r="AF487" s="22">
        <f t="shared" si="161"/>
        <v>0</v>
      </c>
      <c r="AG487" s="6"/>
      <c r="AH487" s="6"/>
      <c r="AI487" s="6"/>
    </row>
    <row r="488" spans="1:35" ht="16.5" x14ac:dyDescent="0.3">
      <c r="A488" s="28"/>
      <c r="B488" s="28"/>
      <c r="C488" s="29"/>
      <c r="D488" s="1">
        <f>MAX(D485:D487)+NoOne</f>
        <v>68</v>
      </c>
      <c r="E488" s="17" t="s">
        <v>229</v>
      </c>
      <c r="F488" s="22">
        <f>SUM(G488:AF488)</f>
        <v>0</v>
      </c>
      <c r="G488" s="22">
        <f t="shared" si="160"/>
        <v>0</v>
      </c>
      <c r="H488" s="22">
        <f t="shared" si="160"/>
        <v>0</v>
      </c>
      <c r="I488" s="22">
        <f t="shared" si="160"/>
        <v>0</v>
      </c>
      <c r="J488" s="22">
        <f t="shared" si="160"/>
        <v>0</v>
      </c>
      <c r="K488" s="22">
        <f t="shared" si="160"/>
        <v>0</v>
      </c>
      <c r="L488" s="22">
        <f t="shared" si="160"/>
        <v>0</v>
      </c>
      <c r="M488" s="22">
        <f t="shared" si="160"/>
        <v>0</v>
      </c>
      <c r="N488" s="22">
        <f t="shared" si="160"/>
        <v>0</v>
      </c>
      <c r="O488" s="22">
        <f t="shared" si="160"/>
        <v>0</v>
      </c>
      <c r="P488" s="22">
        <f t="shared" si="160"/>
        <v>0</v>
      </c>
      <c r="Q488" s="22">
        <f t="shared" si="160"/>
        <v>0</v>
      </c>
      <c r="R488" s="22">
        <f t="shared" si="160"/>
        <v>0</v>
      </c>
      <c r="S488" s="22">
        <f t="shared" si="160"/>
        <v>0</v>
      </c>
      <c r="T488" s="22">
        <f t="shared" si="160"/>
        <v>0</v>
      </c>
      <c r="U488" s="22">
        <f t="shared" si="160"/>
        <v>0</v>
      </c>
      <c r="V488" s="22">
        <f t="shared" si="160"/>
        <v>0</v>
      </c>
      <c r="X488" s="6"/>
      <c r="Y488" s="6"/>
      <c r="Z488" s="6"/>
      <c r="AA488" s="6"/>
      <c r="AB488" s="6"/>
      <c r="AC488" s="17" t="str">
        <f t="shared" si="141"/>
        <v>Industrial - Non-Firm</v>
      </c>
      <c r="AD488" s="6"/>
      <c r="AE488" s="22">
        <f t="shared" si="161"/>
        <v>0</v>
      </c>
      <c r="AF488" s="22">
        <f t="shared" si="161"/>
        <v>0</v>
      </c>
      <c r="AG488" s="6"/>
      <c r="AH488" s="6"/>
      <c r="AI488" s="6"/>
    </row>
    <row r="489" spans="1:35" ht="16.5" x14ac:dyDescent="0.3">
      <c r="A489" s="28"/>
      <c r="B489" s="28"/>
      <c r="C489" s="29"/>
      <c r="D489" s="1"/>
      <c r="E489" s="20" t="s">
        <v>230</v>
      </c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X489" s="6"/>
      <c r="Y489" s="6"/>
      <c r="Z489" s="6"/>
      <c r="AA489" s="6"/>
      <c r="AB489" s="6"/>
      <c r="AC489" s="20" t="str">
        <f t="shared" si="141"/>
        <v>Rural</v>
      </c>
      <c r="AD489" s="6"/>
      <c r="AE489" s="22"/>
      <c r="AF489" s="22"/>
      <c r="AG489" s="6"/>
      <c r="AH489" s="6"/>
      <c r="AI489" s="6"/>
    </row>
    <row r="490" spans="1:35" ht="16.5" x14ac:dyDescent="0.3">
      <c r="A490" s="28"/>
      <c r="B490" s="28"/>
      <c r="C490" s="29"/>
      <c r="D490" s="1">
        <f t="shared" ref="D490:D499" si="162">MAX(D487:D489)+NoOne</f>
        <v>69</v>
      </c>
      <c r="E490" s="17" t="s">
        <v>232</v>
      </c>
      <c r="F490" s="22">
        <f>SUM(G490:AF490)</f>
        <v>37388533.799196705</v>
      </c>
      <c r="G490" s="22">
        <f>SUM(G460,G475)</f>
        <v>11386019.82370176</v>
      </c>
      <c r="H490" s="22">
        <f t="shared" ref="G490:V497" si="163">SUM(H460,H475)</f>
        <v>8783452.044544803</v>
      </c>
      <c r="I490" s="22">
        <f t="shared" si="163"/>
        <v>1503889.3379091914</v>
      </c>
      <c r="J490" s="22">
        <f t="shared" si="163"/>
        <v>3193309.7543878043</v>
      </c>
      <c r="K490" s="22">
        <f t="shared" si="163"/>
        <v>2589949.7509854729</v>
      </c>
      <c r="L490" s="22">
        <f t="shared" si="163"/>
        <v>3517468.3329073214</v>
      </c>
      <c r="M490" s="22">
        <f t="shared" si="163"/>
        <v>1414869.4637660182</v>
      </c>
      <c r="N490" s="22">
        <f t="shared" si="163"/>
        <v>345537.38484915765</v>
      </c>
      <c r="O490" s="22">
        <f t="shared" si="163"/>
        <v>864345.78155224712</v>
      </c>
      <c r="P490" s="22">
        <f t="shared" si="163"/>
        <v>518027.19692641858</v>
      </c>
      <c r="Q490" s="22">
        <f t="shared" si="163"/>
        <v>834737.78938728082</v>
      </c>
      <c r="R490" s="22">
        <f t="shared" si="163"/>
        <v>157166.10183392133</v>
      </c>
      <c r="S490" s="22">
        <f t="shared" si="163"/>
        <v>531549.31311071571</v>
      </c>
      <c r="T490" s="22">
        <f t="shared" si="163"/>
        <v>0</v>
      </c>
      <c r="U490" s="22">
        <f t="shared" si="163"/>
        <v>1748211.7233345923</v>
      </c>
      <c r="V490" s="22">
        <f t="shared" si="163"/>
        <v>0</v>
      </c>
      <c r="X490" s="6"/>
      <c r="Y490" s="6"/>
      <c r="Z490" s="6"/>
      <c r="AA490" s="6"/>
      <c r="AB490" s="6"/>
      <c r="AC490" s="17" t="str">
        <f t="shared" si="141"/>
        <v>1.1 Domestic</v>
      </c>
      <c r="AD490" s="6"/>
      <c r="AE490" s="22">
        <f t="shared" ref="AE490:AF497" si="164">SUM(AE460,AE475)</f>
        <v>0</v>
      </c>
      <c r="AF490" s="22">
        <f t="shared" si="164"/>
        <v>0</v>
      </c>
      <c r="AG490" s="6"/>
      <c r="AH490" s="6"/>
      <c r="AI490" s="6"/>
    </row>
    <row r="491" spans="1:35" ht="16.5" x14ac:dyDescent="0.3">
      <c r="A491" s="28"/>
      <c r="B491" s="28"/>
      <c r="C491" s="29"/>
      <c r="D491" s="1">
        <f t="shared" si="162"/>
        <v>70</v>
      </c>
      <c r="E491" s="17" t="s">
        <v>234</v>
      </c>
      <c r="F491" s="22">
        <f t="shared" ref="F491:F497" si="165">SUM(G491:AF491)</f>
        <v>42858447.734829403</v>
      </c>
      <c r="G491" s="22">
        <f t="shared" si="163"/>
        <v>13231017.695220549</v>
      </c>
      <c r="H491" s="22">
        <f t="shared" si="163"/>
        <v>11855520.991432639</v>
      </c>
      <c r="I491" s="22">
        <f t="shared" si="163"/>
        <v>1747580.5197624275</v>
      </c>
      <c r="J491" s="22">
        <f t="shared" si="163"/>
        <v>3710755.6917013261</v>
      </c>
      <c r="K491" s="22">
        <f t="shared" si="163"/>
        <v>3009626.8507883148</v>
      </c>
      <c r="L491" s="22">
        <f t="shared" si="163"/>
        <v>4087441.1318163304</v>
      </c>
      <c r="M491" s="22">
        <f t="shared" si="163"/>
        <v>1073857.8005326046</v>
      </c>
      <c r="N491" s="22">
        <f t="shared" si="163"/>
        <v>401528.48177749576</v>
      </c>
      <c r="O491" s="22">
        <f t="shared" si="163"/>
        <v>656021.2681435243</v>
      </c>
      <c r="P491" s="22">
        <f t="shared" si="163"/>
        <v>601968.65237062296</v>
      </c>
      <c r="Q491" s="22">
        <f t="shared" si="163"/>
        <v>633549.39058965608</v>
      </c>
      <c r="R491" s="22">
        <f t="shared" si="163"/>
        <v>119285.94740070586</v>
      </c>
      <c r="S491" s="22">
        <f t="shared" si="163"/>
        <v>403435.36338139989</v>
      </c>
      <c r="T491" s="22">
        <f t="shared" si="163"/>
        <v>0</v>
      </c>
      <c r="U491" s="22">
        <f t="shared" si="163"/>
        <v>1326857.9499118093</v>
      </c>
      <c r="V491" s="22">
        <f t="shared" si="163"/>
        <v>0</v>
      </c>
      <c r="X491" s="6"/>
      <c r="Y491" s="6"/>
      <c r="Z491" s="6"/>
      <c r="AA491" s="6"/>
      <c r="AB491" s="6"/>
      <c r="AC491" s="17" t="str">
        <f t="shared" si="141"/>
        <v xml:space="preserve">1.12 Domestic All Electric </v>
      </c>
      <c r="AD491" s="6"/>
      <c r="AE491" s="22">
        <f t="shared" si="164"/>
        <v>0</v>
      </c>
      <c r="AF491" s="22">
        <f t="shared" si="164"/>
        <v>0</v>
      </c>
      <c r="AG491" s="6"/>
      <c r="AH491" s="6"/>
      <c r="AI491" s="6"/>
    </row>
    <row r="492" spans="1:35" ht="16.5" x14ac:dyDescent="0.3">
      <c r="A492" s="28"/>
      <c r="B492" s="28"/>
      <c r="C492" s="29"/>
      <c r="D492" s="1">
        <f t="shared" si="162"/>
        <v>71</v>
      </c>
      <c r="E492" s="17" t="s">
        <v>236</v>
      </c>
      <c r="F492" s="22">
        <f t="shared" si="165"/>
        <v>120316.18125630789</v>
      </c>
      <c r="G492" s="22">
        <f t="shared" si="163"/>
        <v>45516.123007587405</v>
      </c>
      <c r="H492" s="22">
        <f t="shared" si="163"/>
        <v>27676.019712793597</v>
      </c>
      <c r="I492" s="22">
        <f t="shared" si="163"/>
        <v>6011.8648266870359</v>
      </c>
      <c r="J492" s="22">
        <f t="shared" si="163"/>
        <v>12765.398430053816</v>
      </c>
      <c r="K492" s="22">
        <f t="shared" si="163"/>
        <v>10353.43985647473</v>
      </c>
      <c r="L492" s="22">
        <f t="shared" si="163"/>
        <v>14061.236832086572</v>
      </c>
      <c r="M492" s="22">
        <f t="shared" si="163"/>
        <v>122.33763997348028</v>
      </c>
      <c r="N492" s="22">
        <f t="shared" si="163"/>
        <v>1381.3011356062336</v>
      </c>
      <c r="O492" s="22">
        <f t="shared" si="163"/>
        <v>74.736239451148521</v>
      </c>
      <c r="P492" s="22">
        <f t="shared" si="163"/>
        <v>2070.8368667597169</v>
      </c>
      <c r="Q492" s="22">
        <f t="shared" si="163"/>
        <v>72.176164491177332</v>
      </c>
      <c r="R492" s="22">
        <f t="shared" si="163"/>
        <v>13.589472721402446</v>
      </c>
      <c r="S492" s="22">
        <f t="shared" si="163"/>
        <v>45.960768933693984</v>
      </c>
      <c r="T492" s="22">
        <f t="shared" si="163"/>
        <v>0</v>
      </c>
      <c r="U492" s="22">
        <f t="shared" si="163"/>
        <v>151.16030268789069</v>
      </c>
      <c r="V492" s="22">
        <f t="shared" si="163"/>
        <v>0</v>
      </c>
      <c r="X492" s="6"/>
      <c r="Y492" s="6"/>
      <c r="Z492" s="6"/>
      <c r="AA492" s="6"/>
      <c r="AB492" s="6"/>
      <c r="AC492" s="17" t="str">
        <f t="shared" si="141"/>
        <v>1.3 Special</v>
      </c>
      <c r="AD492" s="6"/>
      <c r="AE492" s="22">
        <f t="shared" si="164"/>
        <v>0</v>
      </c>
      <c r="AF492" s="22">
        <f t="shared" si="164"/>
        <v>0</v>
      </c>
      <c r="AG492" s="6"/>
      <c r="AH492" s="6"/>
      <c r="AI492" s="6"/>
    </row>
    <row r="493" spans="1:35" ht="16.5" x14ac:dyDescent="0.3">
      <c r="A493" s="28"/>
      <c r="B493" s="28"/>
      <c r="C493" s="29"/>
      <c r="D493" s="1">
        <f t="shared" si="162"/>
        <v>72</v>
      </c>
      <c r="E493" s="17" t="s">
        <v>238</v>
      </c>
      <c r="F493" s="22">
        <f t="shared" si="165"/>
        <v>18726443.10237832</v>
      </c>
      <c r="G493" s="22">
        <f t="shared" si="163"/>
        <v>5263530.4118043054</v>
      </c>
      <c r="H493" s="22">
        <f t="shared" si="163"/>
        <v>5903949.1750932466</v>
      </c>
      <c r="I493" s="22">
        <f t="shared" si="163"/>
        <v>695218.11736137827</v>
      </c>
      <c r="J493" s="22">
        <f t="shared" si="163"/>
        <v>1476203.5607511348</v>
      </c>
      <c r="K493" s="22">
        <f t="shared" si="163"/>
        <v>1197282.2365001796</v>
      </c>
      <c r="L493" s="22">
        <f t="shared" si="163"/>
        <v>1626055.6216735099</v>
      </c>
      <c r="M493" s="22">
        <f t="shared" si="163"/>
        <v>375969.86032701057</v>
      </c>
      <c r="N493" s="22">
        <f t="shared" si="163"/>
        <v>159735.05770496439</v>
      </c>
      <c r="O493" s="22">
        <f t="shared" si="163"/>
        <v>229680.52607443955</v>
      </c>
      <c r="P493" s="22">
        <f t="shared" si="163"/>
        <v>239473.66572188766</v>
      </c>
      <c r="Q493" s="22">
        <f t="shared" si="163"/>
        <v>221812.86551358769</v>
      </c>
      <c r="R493" s="22">
        <f t="shared" si="163"/>
        <v>199216.50447436623</v>
      </c>
      <c r="S493" s="22">
        <f t="shared" si="163"/>
        <v>673767.40199082845</v>
      </c>
      <c r="T493" s="22">
        <f t="shared" si="163"/>
        <v>0</v>
      </c>
      <c r="U493" s="22">
        <f t="shared" si="163"/>
        <v>464548.09738748102</v>
      </c>
      <c r="V493" s="22">
        <f t="shared" si="163"/>
        <v>0</v>
      </c>
      <c r="X493" s="6"/>
      <c r="Y493" s="6"/>
      <c r="Z493" s="6"/>
      <c r="AA493" s="6"/>
      <c r="AB493" s="6"/>
      <c r="AC493" s="17" t="str">
        <f t="shared" si="141"/>
        <v>2.1 GS 0-10 kW</v>
      </c>
      <c r="AD493" s="6"/>
      <c r="AE493" s="22">
        <f t="shared" si="164"/>
        <v>0</v>
      </c>
      <c r="AF493" s="22">
        <f t="shared" si="164"/>
        <v>0</v>
      </c>
      <c r="AG493" s="6"/>
      <c r="AH493" s="6"/>
      <c r="AI493" s="6"/>
    </row>
    <row r="494" spans="1:35" ht="16.5" x14ac:dyDescent="0.3">
      <c r="A494" s="28"/>
      <c r="B494" s="28"/>
      <c r="C494" s="26"/>
      <c r="D494" s="1">
        <f t="shared" si="162"/>
        <v>73</v>
      </c>
      <c r="E494" s="17" t="s">
        <v>240</v>
      </c>
      <c r="F494" s="22">
        <f t="shared" si="165"/>
        <v>0</v>
      </c>
      <c r="G494" s="22">
        <f t="shared" si="163"/>
        <v>0</v>
      </c>
      <c r="H494" s="22">
        <f t="shared" si="163"/>
        <v>0</v>
      </c>
      <c r="I494" s="22">
        <f t="shared" si="163"/>
        <v>0</v>
      </c>
      <c r="J494" s="22">
        <f t="shared" si="163"/>
        <v>0</v>
      </c>
      <c r="K494" s="22">
        <f t="shared" si="163"/>
        <v>0</v>
      </c>
      <c r="L494" s="22">
        <f t="shared" si="163"/>
        <v>0</v>
      </c>
      <c r="M494" s="22">
        <f t="shared" si="163"/>
        <v>0</v>
      </c>
      <c r="N494" s="22">
        <f t="shared" si="163"/>
        <v>0</v>
      </c>
      <c r="O494" s="22">
        <f t="shared" si="163"/>
        <v>0</v>
      </c>
      <c r="P494" s="22">
        <f t="shared" si="163"/>
        <v>0</v>
      </c>
      <c r="Q494" s="22">
        <f t="shared" si="163"/>
        <v>0</v>
      </c>
      <c r="R494" s="22">
        <f t="shared" si="163"/>
        <v>0</v>
      </c>
      <c r="S494" s="22">
        <f t="shared" si="163"/>
        <v>0</v>
      </c>
      <c r="T494" s="22">
        <f t="shared" si="163"/>
        <v>0</v>
      </c>
      <c r="U494" s="22">
        <f t="shared" si="163"/>
        <v>0</v>
      </c>
      <c r="V494" s="22">
        <f t="shared" si="163"/>
        <v>0</v>
      </c>
      <c r="X494" s="6"/>
      <c r="Y494" s="6"/>
      <c r="Z494" s="6"/>
      <c r="AA494" s="6"/>
      <c r="AB494" s="6"/>
      <c r="AC494" s="17" t="str">
        <f t="shared" si="141"/>
        <v>2.2 GS 10-100 kW</v>
      </c>
      <c r="AD494" s="6"/>
      <c r="AE494" s="22">
        <f t="shared" si="164"/>
        <v>0</v>
      </c>
      <c r="AF494" s="22">
        <f t="shared" si="164"/>
        <v>0</v>
      </c>
      <c r="AG494" s="6"/>
      <c r="AH494" s="6"/>
      <c r="AI494" s="6"/>
    </row>
    <row r="495" spans="1:35" ht="16.5" x14ac:dyDescent="0.3">
      <c r="A495" s="28"/>
      <c r="B495" s="28"/>
      <c r="C495" s="26"/>
      <c r="D495" s="1">
        <f t="shared" si="162"/>
        <v>74</v>
      </c>
      <c r="E495" s="17" t="s">
        <v>242</v>
      </c>
      <c r="F495" s="22">
        <f t="shared" si="165"/>
        <v>11511869.290480131</v>
      </c>
      <c r="G495" s="22">
        <f t="shared" si="163"/>
        <v>3483648.1981767351</v>
      </c>
      <c r="H495" s="22">
        <f t="shared" si="163"/>
        <v>4399620.3113299459</v>
      </c>
      <c r="I495" s="22">
        <f t="shared" si="163"/>
        <v>460127.54793898435</v>
      </c>
      <c r="J495" s="22">
        <f t="shared" si="163"/>
        <v>977019.88441440952</v>
      </c>
      <c r="K495" s="22">
        <f t="shared" si="163"/>
        <v>792416.83424853638</v>
      </c>
      <c r="L495" s="22">
        <f t="shared" si="163"/>
        <v>1076198.9184814612</v>
      </c>
      <c r="M495" s="22">
        <f t="shared" si="163"/>
        <v>10330.447325063158</v>
      </c>
      <c r="N495" s="22">
        <f t="shared" si="163"/>
        <v>98031.548764690058</v>
      </c>
      <c r="O495" s="22">
        <f t="shared" si="163"/>
        <v>6310.8850644066679</v>
      </c>
      <c r="P495" s="22">
        <f t="shared" si="163"/>
        <v>146968.20269996815</v>
      </c>
      <c r="Q495" s="22">
        <f t="shared" si="163"/>
        <v>6094.7069566065775</v>
      </c>
      <c r="R495" s="22">
        <f t="shared" si="163"/>
        <v>9661.4966204043394</v>
      </c>
      <c r="S495" s="22">
        <f t="shared" si="163"/>
        <v>32676.014943885395</v>
      </c>
      <c r="T495" s="22">
        <f t="shared" si="163"/>
        <v>0</v>
      </c>
      <c r="U495" s="22">
        <f t="shared" si="163"/>
        <v>12764.293515032356</v>
      </c>
      <c r="V495" s="22">
        <f t="shared" si="163"/>
        <v>0</v>
      </c>
      <c r="X495" s="6"/>
      <c r="Y495" s="6"/>
      <c r="Z495" s="6"/>
      <c r="AA495" s="6"/>
      <c r="AB495" s="6"/>
      <c r="AC495" s="17" t="str">
        <f t="shared" si="141"/>
        <v>2.3 GS 110-1,000 kVa</v>
      </c>
      <c r="AD495" s="6"/>
      <c r="AE495" s="22">
        <f t="shared" si="164"/>
        <v>0</v>
      </c>
      <c r="AF495" s="22">
        <f t="shared" si="164"/>
        <v>0</v>
      </c>
      <c r="AG495" s="6"/>
      <c r="AH495" s="6"/>
      <c r="AI495" s="6"/>
    </row>
    <row r="496" spans="1:35" ht="16.5" x14ac:dyDescent="0.3">
      <c r="A496" s="28"/>
      <c r="B496" s="28"/>
      <c r="C496" s="26"/>
      <c r="D496" s="1">
        <f t="shared" si="162"/>
        <v>75</v>
      </c>
      <c r="E496" s="17" t="s">
        <v>244</v>
      </c>
      <c r="F496" s="22">
        <f t="shared" si="165"/>
        <v>7187261.5622420013</v>
      </c>
      <c r="G496" s="22">
        <f t="shared" si="163"/>
        <v>2029910.9708304591</v>
      </c>
      <c r="H496" s="22">
        <f t="shared" si="163"/>
        <v>3160105.8674765192</v>
      </c>
      <c r="I496" s="22">
        <f t="shared" si="163"/>
        <v>268114.89117400168</v>
      </c>
      <c r="J496" s="22">
        <f t="shared" si="163"/>
        <v>569306.44808804558</v>
      </c>
      <c r="K496" s="22">
        <f t="shared" si="163"/>
        <v>461738.82487724163</v>
      </c>
      <c r="L496" s="22">
        <f t="shared" si="163"/>
        <v>627097.76278923871</v>
      </c>
      <c r="M496" s="22">
        <f t="shared" si="163"/>
        <v>987.94227255387295</v>
      </c>
      <c r="N496" s="22">
        <f t="shared" si="163"/>
        <v>25425.348448924236</v>
      </c>
      <c r="O496" s="22">
        <f t="shared" si="163"/>
        <v>603.53534906757784</v>
      </c>
      <c r="P496" s="22">
        <f t="shared" si="163"/>
        <v>38117.502086274762</v>
      </c>
      <c r="Q496" s="22">
        <f t="shared" si="163"/>
        <v>582.86136619190302</v>
      </c>
      <c r="R496" s="22">
        <f t="shared" si="163"/>
        <v>923.96782318189446</v>
      </c>
      <c r="S496" s="22">
        <f t="shared" si="163"/>
        <v>3124.9388768815097</v>
      </c>
      <c r="T496" s="22">
        <f t="shared" si="163"/>
        <v>0</v>
      </c>
      <c r="U496" s="22">
        <f t="shared" si="163"/>
        <v>1220.7007834202022</v>
      </c>
      <c r="V496" s="22">
        <f t="shared" si="163"/>
        <v>0</v>
      </c>
      <c r="X496" s="6"/>
      <c r="Y496" s="6"/>
      <c r="Z496" s="1"/>
      <c r="AA496" s="6"/>
      <c r="AB496" s="6"/>
      <c r="AC496" s="17" t="str">
        <f t="shared" si="141"/>
        <v>2.4 GS Over 1,000 kVa</v>
      </c>
      <c r="AD496" s="6"/>
      <c r="AE496" s="22">
        <f t="shared" si="164"/>
        <v>0</v>
      </c>
      <c r="AF496" s="22">
        <f t="shared" si="164"/>
        <v>0</v>
      </c>
      <c r="AG496" s="6"/>
      <c r="AH496" s="6"/>
      <c r="AI496" s="6"/>
    </row>
    <row r="497" spans="1:35" ht="16.5" x14ac:dyDescent="0.3">
      <c r="A497" s="28"/>
      <c r="B497" s="28"/>
      <c r="C497" s="26"/>
      <c r="D497" s="1">
        <f t="shared" si="162"/>
        <v>76</v>
      </c>
      <c r="E497" s="17" t="s">
        <v>246</v>
      </c>
      <c r="F497" s="34">
        <f t="shared" si="165"/>
        <v>1630153.6727959702</v>
      </c>
      <c r="G497" s="22">
        <f t="shared" si="163"/>
        <v>218459.60793436231</v>
      </c>
      <c r="H497" s="22">
        <f t="shared" si="163"/>
        <v>168870.77743466906</v>
      </c>
      <c r="I497" s="22">
        <f t="shared" si="163"/>
        <v>28854.602417993752</v>
      </c>
      <c r="J497" s="22">
        <f t="shared" si="163"/>
        <v>61268.925204605133</v>
      </c>
      <c r="K497" s="22">
        <f t="shared" si="163"/>
        <v>49692.466369344162</v>
      </c>
      <c r="L497" s="22">
        <f t="shared" si="163"/>
        <v>67488.443268724441</v>
      </c>
      <c r="M497" s="22">
        <f t="shared" si="163"/>
        <v>131008.85551678478</v>
      </c>
      <c r="N497" s="22">
        <f t="shared" si="163"/>
        <v>6629.7057961972041</v>
      </c>
      <c r="O497" s="22">
        <f t="shared" si="163"/>
        <v>80033.497444006716</v>
      </c>
      <c r="P497" s="22">
        <f t="shared" si="163"/>
        <v>9939.2079139283942</v>
      </c>
      <c r="Q497" s="22">
        <f t="shared" si="163"/>
        <v>77291.965969182536</v>
      </c>
      <c r="R497" s="22">
        <f t="shared" si="163"/>
        <v>0</v>
      </c>
      <c r="S497" s="22">
        <f t="shared" si="163"/>
        <v>0</v>
      </c>
      <c r="T497" s="22">
        <f t="shared" si="163"/>
        <v>568741.16695638641</v>
      </c>
      <c r="U497" s="22">
        <f t="shared" si="163"/>
        <v>161874.45056978529</v>
      </c>
      <c r="V497" s="22">
        <f t="shared" si="163"/>
        <v>0</v>
      </c>
      <c r="X497" s="6"/>
      <c r="Y497" s="6"/>
      <c r="Z497" s="6"/>
      <c r="AA497" s="6"/>
      <c r="AB497" s="6"/>
      <c r="AC497" s="17" t="str">
        <f t="shared" si="141"/>
        <v>4.1 Street and Area Lighting</v>
      </c>
      <c r="AD497" s="6"/>
      <c r="AE497" s="22">
        <f t="shared" si="164"/>
        <v>0</v>
      </c>
      <c r="AF497" s="22">
        <f t="shared" si="164"/>
        <v>0</v>
      </c>
      <c r="AG497" s="6"/>
      <c r="AH497" s="6"/>
      <c r="AI497" s="6"/>
    </row>
    <row r="498" spans="1:35" ht="16.5" x14ac:dyDescent="0.3">
      <c r="A498" s="28"/>
      <c r="B498" s="28"/>
      <c r="C498" s="26"/>
      <c r="D498" s="1">
        <f t="shared" si="162"/>
        <v>77</v>
      </c>
      <c r="E498" s="20" t="s">
        <v>247</v>
      </c>
      <c r="F498" s="30">
        <f>SUM(F490:F497)</f>
        <v>119423025.34317885</v>
      </c>
      <c r="G498" s="30">
        <f>SUM(G490:G497)</f>
        <v>35658102.830675758</v>
      </c>
      <c r="H498" s="30">
        <f>SUM(H490:H497)</f>
        <v>34299195.187024616</v>
      </c>
      <c r="I498" s="30">
        <f>SUM(I490:I497)</f>
        <v>4709796.8813906638</v>
      </c>
      <c r="J498" s="30">
        <f t="shared" ref="J498:V498" si="166">SUM(J490:J497)</f>
        <v>10000629.662977381</v>
      </c>
      <c r="K498" s="30">
        <f t="shared" si="166"/>
        <v>8111060.4036255628</v>
      </c>
      <c r="L498" s="30">
        <f t="shared" si="166"/>
        <v>11015811.447768673</v>
      </c>
      <c r="M498" s="30">
        <f t="shared" si="166"/>
        <v>3007146.707380008</v>
      </c>
      <c r="N498" s="30">
        <f t="shared" si="166"/>
        <v>1038268.8284770355</v>
      </c>
      <c r="O498" s="30">
        <f t="shared" si="166"/>
        <v>1837070.2298671429</v>
      </c>
      <c r="P498" s="30">
        <f t="shared" si="166"/>
        <v>1556565.2645858603</v>
      </c>
      <c r="Q498" s="30">
        <f t="shared" si="166"/>
        <v>1774141.7559469966</v>
      </c>
      <c r="R498" s="30">
        <f t="shared" si="166"/>
        <v>486267.60762530105</v>
      </c>
      <c r="S498" s="30">
        <f t="shared" si="166"/>
        <v>1644598.9930726446</v>
      </c>
      <c r="T498" s="30">
        <f t="shared" si="166"/>
        <v>568741.16695638641</v>
      </c>
      <c r="U498" s="30">
        <f t="shared" si="166"/>
        <v>3715628.375804808</v>
      </c>
      <c r="V498" s="30">
        <f t="shared" si="166"/>
        <v>0</v>
      </c>
      <c r="X498" s="6"/>
      <c r="Y498" s="6"/>
      <c r="Z498" s="6"/>
      <c r="AA498" s="6"/>
      <c r="AB498" s="6"/>
      <c r="AC498" s="20" t="str">
        <f t="shared" si="141"/>
        <v xml:space="preserve">    Subtotal Rural</v>
      </c>
      <c r="AD498" s="6"/>
      <c r="AE498" s="30">
        <f>SUM(AE490:AE497)</f>
        <v>0</v>
      </c>
      <c r="AF498" s="30">
        <f>SUM(AF490:AF497)</f>
        <v>0</v>
      </c>
      <c r="AG498" s="6"/>
      <c r="AH498" s="6"/>
      <c r="AI498" s="6"/>
    </row>
    <row r="499" spans="1:35" ht="17.25" thickBot="1" x14ac:dyDescent="0.35">
      <c r="A499" s="28">
        <f>(SUM(G499:AF499)-F499)*1000</f>
        <v>7.152557373046875E-4</v>
      </c>
      <c r="B499" s="28"/>
      <c r="C499" s="26"/>
      <c r="D499" s="1">
        <f t="shared" si="162"/>
        <v>78</v>
      </c>
      <c r="E499" s="20" t="s">
        <v>248</v>
      </c>
      <c r="F499" s="55">
        <f>SUM(F498,F486:F488)</f>
        <v>1206131974.2441249</v>
      </c>
      <c r="G499" s="55">
        <f>SUM(G498,G486:G488)</f>
        <v>561502304.40035379</v>
      </c>
      <c r="H499" s="55">
        <f>SUM(H498,H486:H488)</f>
        <v>520783625.30454218</v>
      </c>
      <c r="I499" s="55">
        <f>SUM(I498,I486:I488)</f>
        <v>75935502.533274651</v>
      </c>
      <c r="J499" s="55">
        <f t="shared" ref="J499:V499" si="167">SUM(J498,J486:J488)</f>
        <v>10000629.662977381</v>
      </c>
      <c r="K499" s="55">
        <f t="shared" si="167"/>
        <v>8111060.4036255628</v>
      </c>
      <c r="L499" s="55">
        <f t="shared" si="167"/>
        <v>11015811.447768673</v>
      </c>
      <c r="M499" s="55">
        <f t="shared" si="167"/>
        <v>3007146.707380008</v>
      </c>
      <c r="N499" s="55">
        <f t="shared" si="167"/>
        <v>1038268.8284770355</v>
      </c>
      <c r="O499" s="55">
        <f t="shared" si="167"/>
        <v>1837070.2298671429</v>
      </c>
      <c r="P499" s="55">
        <f t="shared" si="167"/>
        <v>1556565.2645858603</v>
      </c>
      <c r="Q499" s="55">
        <f t="shared" si="167"/>
        <v>1774141.7559469966</v>
      </c>
      <c r="R499" s="55">
        <f t="shared" si="167"/>
        <v>486267.60762530105</v>
      </c>
      <c r="S499" s="55">
        <f t="shared" si="167"/>
        <v>1644598.9930726446</v>
      </c>
      <c r="T499" s="55">
        <f t="shared" si="167"/>
        <v>568741.16695638641</v>
      </c>
      <c r="U499" s="55">
        <f t="shared" si="167"/>
        <v>3715628.375804808</v>
      </c>
      <c r="V499" s="55">
        <f t="shared" si="167"/>
        <v>3154611.5618665903</v>
      </c>
      <c r="X499" s="6"/>
      <c r="Y499" s="6"/>
      <c r="Z499" s="6"/>
      <c r="AA499" s="6"/>
      <c r="AB499" s="6"/>
      <c r="AC499" s="20" t="str">
        <f t="shared" si="141"/>
        <v xml:space="preserve">      Total</v>
      </c>
      <c r="AD499" s="6"/>
      <c r="AE499" s="55">
        <f>SUM(AE498,AE486:AE488)</f>
        <v>0</v>
      </c>
      <c r="AF499" s="55">
        <f>SUM(AF498,AF486:AF488)</f>
        <v>0</v>
      </c>
      <c r="AG499" s="6"/>
      <c r="AH499" s="6"/>
      <c r="AI499" s="6"/>
    </row>
    <row r="500" spans="1:35" ht="17.25" thickTop="1" x14ac:dyDescent="0.3">
      <c r="A500" s="28"/>
      <c r="B500" s="28"/>
      <c r="C500" s="26"/>
      <c r="D500" s="1"/>
      <c r="E500" s="20"/>
      <c r="F500" s="64"/>
      <c r="G500" s="64"/>
      <c r="H500" s="64"/>
      <c r="I500" s="64"/>
      <c r="J500" s="64"/>
      <c r="K500" s="64"/>
      <c r="L500" s="64"/>
      <c r="M500" s="64"/>
      <c r="N500" s="64"/>
      <c r="O500" s="64"/>
      <c r="P500" s="64"/>
      <c r="Q500" s="64"/>
      <c r="R500" s="64"/>
      <c r="S500" s="64"/>
      <c r="T500" s="64"/>
      <c r="U500" s="64"/>
      <c r="V500" s="64"/>
      <c r="X500" s="6"/>
      <c r="Y500" s="6"/>
      <c r="Z500" s="6"/>
      <c r="AA500" s="6"/>
      <c r="AB500" s="6"/>
      <c r="AC500" s="20"/>
      <c r="AD500" s="6"/>
      <c r="AE500" s="64"/>
      <c r="AF500" s="64"/>
      <c r="AG500" s="6"/>
      <c r="AH500" s="6"/>
      <c r="AI500" s="6"/>
    </row>
    <row r="501" spans="1:35" ht="16.5" x14ac:dyDescent="0.3">
      <c r="A501" s="28"/>
      <c r="B501" s="28"/>
      <c r="C501" s="26"/>
      <c r="D501" s="1"/>
      <c r="E501" s="20" t="s">
        <v>265</v>
      </c>
      <c r="F501" s="64"/>
      <c r="G501" s="64"/>
      <c r="H501" s="64"/>
      <c r="I501" s="64"/>
      <c r="J501" s="64"/>
      <c r="K501" s="64"/>
      <c r="L501" s="64"/>
      <c r="M501" s="64"/>
      <c r="N501" s="64"/>
      <c r="O501" s="64"/>
      <c r="P501" s="64"/>
      <c r="Q501" s="64"/>
      <c r="R501" s="64"/>
      <c r="S501" s="64"/>
      <c r="T501" s="64"/>
      <c r="U501" s="64"/>
      <c r="V501" s="64"/>
      <c r="X501" s="6"/>
      <c r="Y501" s="6"/>
      <c r="Z501" s="6"/>
      <c r="AA501" s="6"/>
      <c r="AB501" s="6"/>
      <c r="AC501" s="20"/>
      <c r="AD501" s="6"/>
      <c r="AE501" s="64"/>
      <c r="AF501" s="64"/>
      <c r="AG501" s="6"/>
      <c r="AH501" s="6"/>
      <c r="AI501" s="6"/>
    </row>
    <row r="502" spans="1:35" ht="16.5" x14ac:dyDescent="0.3">
      <c r="A502" s="28"/>
      <c r="B502" s="28"/>
      <c r="C502" s="26"/>
      <c r="D502" s="1"/>
      <c r="E502" s="6" t="s">
        <v>224</v>
      </c>
      <c r="F502" s="64">
        <f>SUM(G502:I502)</f>
        <v>0</v>
      </c>
      <c r="G502" s="64">
        <v>0</v>
      </c>
      <c r="H502" s="64">
        <v>0</v>
      </c>
      <c r="I502" s="64">
        <v>0</v>
      </c>
      <c r="J502" s="109">
        <f>G366</f>
        <v>0.88738604118773867</v>
      </c>
      <c r="K502" s="109">
        <f t="shared" ref="K502:L504" si="168">H366</f>
        <v>0.8483695330439589</v>
      </c>
      <c r="L502" s="109">
        <f t="shared" si="168"/>
        <v>0.89001457100935721</v>
      </c>
      <c r="M502" s="64"/>
      <c r="N502" s="64"/>
      <c r="O502" s="64"/>
      <c r="P502" s="64"/>
      <c r="Q502" s="64"/>
      <c r="R502" s="64"/>
      <c r="S502" s="64"/>
      <c r="T502" s="64"/>
      <c r="U502" s="64"/>
      <c r="V502" s="64"/>
      <c r="X502" s="6"/>
      <c r="Y502" s="6"/>
      <c r="Z502" s="6"/>
      <c r="AA502" s="6"/>
      <c r="AB502" s="6"/>
      <c r="AC502" s="20"/>
      <c r="AD502" s="6"/>
      <c r="AE502" s="64"/>
      <c r="AF502" s="64"/>
      <c r="AG502" s="6"/>
      <c r="AH502" s="6"/>
      <c r="AI502" s="6"/>
    </row>
    <row r="503" spans="1:35" ht="16.5" x14ac:dyDescent="0.3">
      <c r="A503" s="28"/>
      <c r="B503" s="28"/>
      <c r="C503" s="26"/>
      <c r="D503" s="1"/>
      <c r="E503" s="17" t="s">
        <v>227</v>
      </c>
      <c r="F503" s="64">
        <f t="shared" ref="F503:F505" si="169">SUM(G503:I503)</f>
        <v>0</v>
      </c>
      <c r="G503" s="64">
        <v>0</v>
      </c>
      <c r="H503" s="64">
        <v>0</v>
      </c>
      <c r="I503" s="64">
        <v>0</v>
      </c>
      <c r="J503" s="109">
        <f>G367</f>
        <v>4.9812492941411594E-2</v>
      </c>
      <c r="K503" s="109">
        <f t="shared" si="168"/>
        <v>8.6517326939485953E-2</v>
      </c>
      <c r="L503" s="109">
        <f t="shared" si="168"/>
        <v>4.8649816266453899E-2</v>
      </c>
      <c r="M503" s="64"/>
      <c r="N503" s="64"/>
      <c r="O503" s="64"/>
      <c r="P503" s="64"/>
      <c r="Q503" s="64"/>
      <c r="R503" s="64"/>
      <c r="S503" s="64"/>
      <c r="T503" s="64"/>
      <c r="U503" s="64"/>
      <c r="V503" s="64"/>
      <c r="X503" s="6"/>
      <c r="Y503" s="6"/>
      <c r="Z503" s="6"/>
      <c r="AA503" s="6"/>
      <c r="AB503" s="6"/>
      <c r="AC503" s="20"/>
      <c r="AD503" s="6"/>
      <c r="AE503" s="64"/>
      <c r="AF503" s="64"/>
      <c r="AG503" s="6"/>
      <c r="AH503" s="6"/>
      <c r="AI503" s="6"/>
    </row>
    <row r="504" spans="1:35" ht="16.5" x14ac:dyDescent="0.3">
      <c r="A504" s="28"/>
      <c r="B504" s="28"/>
      <c r="C504" s="26"/>
      <c r="D504" s="1"/>
      <c r="E504" s="17" t="s">
        <v>229</v>
      </c>
      <c r="F504" s="64">
        <f t="shared" si="169"/>
        <v>0</v>
      </c>
      <c r="G504" s="64">
        <v>0</v>
      </c>
      <c r="H504" s="64">
        <v>0</v>
      </c>
      <c r="I504" s="64">
        <v>0</v>
      </c>
      <c r="J504" s="109">
        <f>G368</f>
        <v>0</v>
      </c>
      <c r="K504" s="109">
        <f t="shared" si="168"/>
        <v>0</v>
      </c>
      <c r="L504" s="109">
        <f t="shared" si="168"/>
        <v>0</v>
      </c>
      <c r="M504" s="64"/>
      <c r="N504" s="64"/>
      <c r="O504" s="64"/>
      <c r="P504" s="64"/>
      <c r="Q504" s="64"/>
      <c r="R504" s="64"/>
      <c r="S504" s="64"/>
      <c r="T504" s="64"/>
      <c r="U504" s="64"/>
      <c r="V504" s="64"/>
      <c r="W504" s="64"/>
      <c r="X504" s="6"/>
      <c r="Y504" s="6"/>
      <c r="Z504" s="6"/>
      <c r="AA504" s="6"/>
      <c r="AB504" s="6"/>
      <c r="AC504" s="20"/>
      <c r="AD504" s="6"/>
      <c r="AE504" s="64"/>
      <c r="AF504" s="64"/>
      <c r="AG504" s="6"/>
      <c r="AH504" s="6"/>
      <c r="AI504" s="6"/>
    </row>
    <row r="505" spans="1:35" ht="16.5" x14ac:dyDescent="0.3">
      <c r="A505" s="28"/>
      <c r="B505" s="28"/>
      <c r="C505" s="26"/>
      <c r="D505" s="1"/>
      <c r="E505" s="6" t="s">
        <v>266</v>
      </c>
      <c r="F505" s="64">
        <f t="shared" si="169"/>
        <v>0</v>
      </c>
      <c r="G505" s="64">
        <v>0</v>
      </c>
      <c r="H505" s="64">
        <v>0</v>
      </c>
      <c r="I505" s="64">
        <v>0</v>
      </c>
      <c r="J505" s="109">
        <f>G378</f>
        <v>6.2801465870849699E-2</v>
      </c>
      <c r="K505" s="109">
        <f t="shared" ref="K505:L505" si="170">H378</f>
        <v>6.5113140016555132E-2</v>
      </c>
      <c r="L505" s="109">
        <f t="shared" si="170"/>
        <v>6.1335612724188852E-2</v>
      </c>
      <c r="M505" s="64"/>
      <c r="N505" s="64"/>
      <c r="O505" s="64"/>
      <c r="P505" s="64"/>
      <c r="Q505" s="64"/>
      <c r="R505" s="64"/>
      <c r="S505" s="64"/>
      <c r="T505" s="64"/>
      <c r="U505" s="64"/>
      <c r="V505" s="64"/>
      <c r="W505" s="64"/>
      <c r="X505" s="6"/>
      <c r="Y505" s="6"/>
      <c r="Z505" s="6"/>
      <c r="AA505" s="6"/>
      <c r="AB505" s="6"/>
      <c r="AC505" s="20"/>
      <c r="AD505" s="6"/>
      <c r="AE505" s="64"/>
      <c r="AF505" s="64"/>
      <c r="AG505" s="6"/>
      <c r="AH505" s="6"/>
      <c r="AI505" s="6"/>
    </row>
    <row r="506" spans="1:35" ht="16.5" x14ac:dyDescent="0.3">
      <c r="A506" s="28"/>
      <c r="B506" s="28"/>
      <c r="C506" s="26"/>
      <c r="D506" s="1"/>
      <c r="E506" s="17" t="s">
        <v>15</v>
      </c>
      <c r="F506" s="110">
        <f>SUM(F502:F505)</f>
        <v>0</v>
      </c>
      <c r="G506" s="110">
        <f t="shared" ref="G506:I506" si="171">SUM(G502:G505)</f>
        <v>0</v>
      </c>
      <c r="H506" s="110">
        <f t="shared" si="171"/>
        <v>0</v>
      </c>
      <c r="I506" s="110">
        <f t="shared" si="171"/>
        <v>0</v>
      </c>
      <c r="J506" s="64"/>
      <c r="K506" s="64"/>
      <c r="L506" s="64"/>
      <c r="M506" s="64"/>
      <c r="N506" s="64"/>
      <c r="O506" s="64"/>
      <c r="P506" s="64"/>
      <c r="Q506" s="64"/>
      <c r="R506" s="64"/>
      <c r="S506" s="64"/>
      <c r="T506" s="64"/>
      <c r="U506" s="64"/>
      <c r="V506" s="64"/>
      <c r="W506" s="64"/>
      <c r="X506" s="6"/>
      <c r="Y506" s="6"/>
      <c r="Z506" s="6"/>
      <c r="AA506" s="6"/>
      <c r="AB506" s="6"/>
      <c r="AC506" s="20"/>
      <c r="AD506" s="6"/>
      <c r="AE506" s="64"/>
      <c r="AF506" s="64"/>
      <c r="AG506" s="6"/>
      <c r="AH506" s="6"/>
      <c r="AI506" s="6"/>
    </row>
    <row r="507" spans="1:35" ht="16.5" x14ac:dyDescent="0.3">
      <c r="A507" s="28"/>
      <c r="B507" s="28"/>
      <c r="C507" s="26"/>
      <c r="D507" s="1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6"/>
      <c r="T507" s="6"/>
      <c r="V507" s="42" t="s">
        <v>494</v>
      </c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</row>
    <row r="508" spans="1:35" ht="16.5" x14ac:dyDescent="0.3">
      <c r="A508" s="28"/>
      <c r="B508" s="28"/>
      <c r="C508" s="26"/>
      <c r="D508" s="1"/>
      <c r="E508" s="6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V508" s="42" t="s">
        <v>110</v>
      </c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</row>
    <row r="509" spans="1:35" ht="16.5" x14ac:dyDescent="0.3">
      <c r="A509" s="43"/>
      <c r="B509" s="43"/>
      <c r="C509" s="44"/>
      <c r="D509" s="8" t="str">
        <f>D5</f>
        <v>NEWFOUNDLAND AND LABRADOR HYDRO</v>
      </c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8"/>
      <c r="W509" s="10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</row>
    <row r="510" spans="1:35" ht="16.5" x14ac:dyDescent="0.3">
      <c r="A510" s="43"/>
      <c r="B510" s="43"/>
      <c r="C510" s="44"/>
      <c r="D510" s="8" t="str">
        <f>D6</f>
        <v>2027 Test Year Cost of Service Study (No Rate Mitigation)</v>
      </c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8"/>
      <c r="W510" s="10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</row>
    <row r="511" spans="1:35" ht="16.5" x14ac:dyDescent="0.3">
      <c r="A511" s="43"/>
      <c r="B511" s="43"/>
      <c r="C511" s="44"/>
      <c r="D511" s="8" t="str">
        <f>$B$1</f>
        <v>Island Interconnected</v>
      </c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8"/>
      <c r="W511" s="10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</row>
    <row r="512" spans="1:35" ht="16.5" x14ac:dyDescent="0.3">
      <c r="A512" s="43"/>
      <c r="B512" s="43"/>
      <c r="C512" s="44"/>
      <c r="D512" s="8" t="s">
        <v>268</v>
      </c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8"/>
      <c r="W512" s="10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</row>
    <row r="513" spans="1:35" ht="16.5" x14ac:dyDescent="0.3">
      <c r="A513" s="28"/>
      <c r="B513" s="28"/>
      <c r="C513" s="26"/>
      <c r="D513" s="1"/>
      <c r="E513" s="6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</row>
    <row r="514" spans="1:35" s="12" customFormat="1" ht="16.5" x14ac:dyDescent="0.3">
      <c r="A514" s="45"/>
      <c r="B514" s="45"/>
      <c r="C514" s="45" t="s">
        <v>39</v>
      </c>
      <c r="D514" s="1"/>
      <c r="E514" s="1">
        <f t="shared" ref="E514:V514" si="172">MAX(D514)+NoOne</f>
        <v>1</v>
      </c>
      <c r="F514" s="1">
        <f t="shared" si="172"/>
        <v>2</v>
      </c>
      <c r="G514" s="1">
        <f t="shared" si="172"/>
        <v>3</v>
      </c>
      <c r="H514" s="1">
        <f t="shared" si="172"/>
        <v>4</v>
      </c>
      <c r="I514" s="1">
        <f t="shared" si="172"/>
        <v>5</v>
      </c>
      <c r="J514" s="1">
        <f t="shared" si="172"/>
        <v>6</v>
      </c>
      <c r="K514" s="1">
        <f t="shared" si="172"/>
        <v>7</v>
      </c>
      <c r="L514" s="1">
        <f t="shared" si="172"/>
        <v>8</v>
      </c>
      <c r="M514" s="1">
        <f t="shared" si="172"/>
        <v>9</v>
      </c>
      <c r="N514" s="1">
        <f t="shared" si="172"/>
        <v>10</v>
      </c>
      <c r="O514" s="1">
        <f t="shared" si="172"/>
        <v>11</v>
      </c>
      <c r="P514" s="1">
        <f t="shared" si="172"/>
        <v>12</v>
      </c>
      <c r="Q514" s="1">
        <f t="shared" si="172"/>
        <v>13</v>
      </c>
      <c r="R514" s="1">
        <f t="shared" si="172"/>
        <v>14</v>
      </c>
      <c r="S514" s="1">
        <f t="shared" si="172"/>
        <v>15</v>
      </c>
      <c r="T514" s="1">
        <f t="shared" si="172"/>
        <v>16</v>
      </c>
      <c r="U514" s="1">
        <f t="shared" si="172"/>
        <v>17</v>
      </c>
      <c r="V514" s="1">
        <f t="shared" si="172"/>
        <v>18</v>
      </c>
      <c r="W514" s="1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/>
    </row>
    <row r="515" spans="1:35" s="12" customFormat="1" ht="16.5" x14ac:dyDescent="0.3">
      <c r="A515" s="45"/>
      <c r="B515" s="45"/>
      <c r="C515" s="46"/>
      <c r="D515" s="1"/>
      <c r="E515" s="13"/>
      <c r="F515" s="25"/>
      <c r="G515" s="111" t="s">
        <v>269</v>
      </c>
      <c r="H515" s="112"/>
      <c r="I515" s="112"/>
      <c r="J515" s="113"/>
      <c r="K515" s="111" t="s">
        <v>183</v>
      </c>
      <c r="L515" s="112"/>
      <c r="M515" s="112"/>
      <c r="N515" s="113"/>
      <c r="O515" s="111" t="s">
        <v>184</v>
      </c>
      <c r="P515" s="113"/>
      <c r="Q515" s="25"/>
      <c r="R515" s="25" t="s">
        <v>270</v>
      </c>
      <c r="S515" s="25"/>
      <c r="T515" s="25"/>
      <c r="U515" s="25" t="s">
        <v>270</v>
      </c>
      <c r="V515" s="25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  <c r="AI515" s="13"/>
    </row>
    <row r="516" spans="1:35" s="12" customFormat="1" ht="16.5" x14ac:dyDescent="0.3">
      <c r="A516" s="45"/>
      <c r="B516" s="45"/>
      <c r="C516" s="46" t="s">
        <v>39</v>
      </c>
      <c r="D516" s="1" t="s">
        <v>14</v>
      </c>
      <c r="E516" s="13"/>
      <c r="F516" s="25"/>
      <c r="G516" s="237" t="s">
        <v>17</v>
      </c>
      <c r="H516" s="237"/>
      <c r="I516" s="84" t="s">
        <v>271</v>
      </c>
      <c r="J516" s="25"/>
      <c r="K516" s="114" t="s">
        <v>17</v>
      </c>
      <c r="L516" s="114"/>
      <c r="M516" s="84" t="s">
        <v>272</v>
      </c>
      <c r="N516" s="25"/>
      <c r="O516" s="25" t="s">
        <v>273</v>
      </c>
      <c r="P516" s="25"/>
      <c r="Q516" s="25" t="s">
        <v>39</v>
      </c>
      <c r="R516" s="25" t="s">
        <v>274</v>
      </c>
      <c r="S516" s="84" t="s">
        <v>275</v>
      </c>
      <c r="T516" s="84" t="s">
        <v>275</v>
      </c>
      <c r="U516" s="25" t="s">
        <v>276</v>
      </c>
      <c r="V516" s="25" t="s">
        <v>277</v>
      </c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/>
    </row>
    <row r="517" spans="1:35" s="12" customFormat="1" ht="16.5" x14ac:dyDescent="0.3">
      <c r="A517" s="45"/>
      <c r="B517" s="45"/>
      <c r="C517" s="46" t="s">
        <v>39</v>
      </c>
      <c r="D517" s="1" t="s">
        <v>30</v>
      </c>
      <c r="E517" s="13" t="s">
        <v>31</v>
      </c>
      <c r="F517" s="25" t="s">
        <v>15</v>
      </c>
      <c r="G517" s="25" t="s">
        <v>67</v>
      </c>
      <c r="H517" s="25" t="s">
        <v>278</v>
      </c>
      <c r="I517" s="25" t="s">
        <v>92</v>
      </c>
      <c r="J517" s="25" t="s">
        <v>142</v>
      </c>
      <c r="K517" s="25" t="s">
        <v>67</v>
      </c>
      <c r="L517" s="25" t="s">
        <v>278</v>
      </c>
      <c r="M517" s="84" t="s">
        <v>279</v>
      </c>
      <c r="N517" s="25" t="s">
        <v>92</v>
      </c>
      <c r="O517" s="25" t="s">
        <v>280</v>
      </c>
      <c r="P517" s="25" t="s">
        <v>142</v>
      </c>
      <c r="Q517" s="25" t="s">
        <v>281</v>
      </c>
      <c r="R517" s="25" t="s">
        <v>282</v>
      </c>
      <c r="S517" s="25" t="s">
        <v>283</v>
      </c>
      <c r="T517" s="25" t="s">
        <v>284</v>
      </c>
      <c r="U517" s="25" t="s">
        <v>285</v>
      </c>
      <c r="V517" s="25" t="s">
        <v>285</v>
      </c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  <c r="AI517" s="13"/>
    </row>
    <row r="518" spans="1:35" s="12" customFormat="1" ht="16.5" x14ac:dyDescent="0.3">
      <c r="A518" s="45"/>
      <c r="B518" s="45"/>
      <c r="C518" s="46" t="s">
        <v>39</v>
      </c>
      <c r="D518" s="1"/>
      <c r="E518" s="13"/>
      <c r="F518" s="25" t="s">
        <v>32</v>
      </c>
      <c r="G518" s="25" t="s">
        <v>37</v>
      </c>
      <c r="H518" s="25" t="s">
        <v>37</v>
      </c>
      <c r="I518" s="25" t="s">
        <v>37</v>
      </c>
      <c r="J518" s="25" t="s">
        <v>37</v>
      </c>
      <c r="K518" s="25" t="s">
        <v>37</v>
      </c>
      <c r="L518" s="25" t="s">
        <v>37</v>
      </c>
      <c r="M518" s="25" t="s">
        <v>37</v>
      </c>
      <c r="N518" s="25" t="s">
        <v>37</v>
      </c>
      <c r="O518" s="25" t="s">
        <v>37</v>
      </c>
      <c r="P518" s="25" t="s">
        <v>37</v>
      </c>
      <c r="Q518" s="25" t="s">
        <v>37</v>
      </c>
      <c r="R518" s="25" t="s">
        <v>37</v>
      </c>
      <c r="S518" s="25" t="s">
        <v>37</v>
      </c>
      <c r="T518" s="25" t="s">
        <v>37</v>
      </c>
      <c r="U518" s="25" t="s">
        <v>37</v>
      </c>
      <c r="V518" s="25" t="s">
        <v>37</v>
      </c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  <c r="AI518" s="13"/>
    </row>
    <row r="519" spans="1:35" s="12" customFormat="1" ht="16.5" x14ac:dyDescent="0.3">
      <c r="A519" s="45"/>
      <c r="B519" s="45"/>
      <c r="C519" s="46" t="s">
        <v>39</v>
      </c>
      <c r="D519" s="1"/>
      <c r="E519" s="13"/>
      <c r="F519" s="25" t="s">
        <v>37</v>
      </c>
      <c r="G519" s="25" t="s">
        <v>286</v>
      </c>
      <c r="H519" s="25" t="s">
        <v>286</v>
      </c>
      <c r="I519" s="25" t="s">
        <v>287</v>
      </c>
      <c r="J519" s="25" t="s">
        <v>287</v>
      </c>
      <c r="K519" s="25" t="s">
        <v>288</v>
      </c>
      <c r="L519" s="25" t="s">
        <v>288</v>
      </c>
      <c r="M519" s="25" t="s">
        <v>288</v>
      </c>
      <c r="N519" s="25" t="s">
        <v>289</v>
      </c>
      <c r="O519" s="25" t="s">
        <v>286</v>
      </c>
      <c r="P519" s="25" t="s">
        <v>290</v>
      </c>
      <c r="Q519" s="25" t="s">
        <v>291</v>
      </c>
      <c r="R519" s="25"/>
      <c r="S519" s="25" t="s">
        <v>291</v>
      </c>
      <c r="T519" s="25" t="s">
        <v>291</v>
      </c>
      <c r="U519" s="25" t="s">
        <v>39</v>
      </c>
      <c r="V519" s="25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  <c r="AI519" s="13"/>
    </row>
    <row r="520" spans="1:35" ht="16.5" x14ac:dyDescent="0.3">
      <c r="A520" s="28"/>
      <c r="B520" s="28"/>
      <c r="C520" s="26"/>
      <c r="D520" s="1"/>
      <c r="E520" s="6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 t="s">
        <v>39</v>
      </c>
      <c r="V520" s="23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</row>
    <row r="521" spans="1:35" ht="16.5" x14ac:dyDescent="0.3">
      <c r="A521" s="28"/>
      <c r="B521" s="28"/>
      <c r="C521" s="26"/>
      <c r="D521" s="1"/>
      <c r="E521" s="20" t="s">
        <v>292</v>
      </c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 t="s">
        <v>39</v>
      </c>
      <c r="T521" s="23"/>
      <c r="U521" s="23"/>
      <c r="V521" s="23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</row>
    <row r="522" spans="1:35" ht="16.5" x14ac:dyDescent="0.3">
      <c r="A522" s="28"/>
      <c r="B522" s="28"/>
      <c r="C522" s="26"/>
      <c r="D522" s="1">
        <f>MAX(D519:D521)+NoOne</f>
        <v>1</v>
      </c>
      <c r="E522" s="6" t="s">
        <v>224</v>
      </c>
      <c r="F522" s="6"/>
      <c r="G522" s="22">
        <v>28117624.55681641</v>
      </c>
      <c r="H522" s="22">
        <v>14054940.521415183</v>
      </c>
      <c r="I522" s="22">
        <f>SUM(G522:H522)</f>
        <v>42172565.078231595</v>
      </c>
      <c r="J522" s="22">
        <f>+I522</f>
        <v>42172565.078231595</v>
      </c>
      <c r="K522" s="22">
        <v>0</v>
      </c>
      <c r="L522" s="22">
        <v>0</v>
      </c>
      <c r="M522" s="22">
        <v>0</v>
      </c>
      <c r="N522" s="22">
        <f>SUM(G545,H545,J545)</f>
        <v>391616.70999260026</v>
      </c>
      <c r="O522" s="22">
        <f>+G522+H522</f>
        <v>42172565.078231595</v>
      </c>
      <c r="P522" s="22">
        <f>+J522</f>
        <v>42172565.078231595</v>
      </c>
      <c r="Q522" s="22">
        <v>24396728.923826776</v>
      </c>
      <c r="R522" s="22">
        <v>0</v>
      </c>
      <c r="S522" s="22">
        <f>Q522</f>
        <v>24396728.923826776</v>
      </c>
      <c r="T522" s="23">
        <f>S522</f>
        <v>24396728.923826776</v>
      </c>
      <c r="U522" s="22">
        <v>0</v>
      </c>
      <c r="V522" s="22">
        <v>0</v>
      </c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</row>
    <row r="523" spans="1:35" ht="16.5" x14ac:dyDescent="0.3">
      <c r="A523" s="28"/>
      <c r="B523" s="28"/>
      <c r="C523" s="26"/>
      <c r="D523" s="1"/>
      <c r="E523" s="21" t="s">
        <v>293</v>
      </c>
      <c r="F523" s="6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3" t="s">
        <v>39</v>
      </c>
      <c r="U523" s="22"/>
      <c r="V523" s="22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</row>
    <row r="524" spans="1:35" ht="16.5" x14ac:dyDescent="0.3">
      <c r="A524" s="28"/>
      <c r="B524" s="28"/>
      <c r="C524" s="26"/>
      <c r="D524" s="1">
        <f>MAX(D521:D523)+NoOne</f>
        <v>2</v>
      </c>
      <c r="E524" s="27" t="s">
        <v>294</v>
      </c>
      <c r="F524" s="6"/>
      <c r="G524" s="22">
        <v>668081.30000000005</v>
      </c>
      <c r="H524" s="22">
        <v>3422177.2183064385</v>
      </c>
      <c r="I524" s="22">
        <f t="shared" ref="I524:I529" si="173">SUM(G524:H524)</f>
        <v>4090258.5183064388</v>
      </c>
      <c r="J524" s="22">
        <f t="shared" ref="J524:J529" si="174">+I524</f>
        <v>4090258.5183064388</v>
      </c>
      <c r="K524" s="22">
        <v>0</v>
      </c>
      <c r="L524" s="22">
        <v>0</v>
      </c>
      <c r="M524" s="22">
        <v>0</v>
      </c>
      <c r="N524" s="22">
        <f t="shared" ref="N524:N529" si="175">SUM(G547,H547,J547)</f>
        <v>86509.190334964806</v>
      </c>
      <c r="O524" s="22">
        <f t="shared" ref="O524:O529" si="176">+G524+H524</f>
        <v>4090258.5183064388</v>
      </c>
      <c r="P524" s="22">
        <f t="shared" ref="P524:P529" si="177">+J524</f>
        <v>4090258.5183064388</v>
      </c>
      <c r="Q524" s="22">
        <v>2197177.314779853</v>
      </c>
      <c r="R524" s="22">
        <v>0</v>
      </c>
      <c r="S524" s="22">
        <f t="shared" ref="S524:S529" si="178">Q524</f>
        <v>2197177.314779853</v>
      </c>
      <c r="T524" s="23">
        <f t="shared" ref="T524:T529" si="179">S524</f>
        <v>2197177.314779853</v>
      </c>
      <c r="U524" s="22">
        <v>0</v>
      </c>
      <c r="V524" s="22">
        <v>0</v>
      </c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</row>
    <row r="525" spans="1:35" ht="16.5" x14ac:dyDescent="0.3">
      <c r="A525" s="28"/>
      <c r="B525" s="28"/>
      <c r="C525" s="26"/>
      <c r="D525" s="1">
        <f>MAX(D522:D524)+NoOne</f>
        <v>3</v>
      </c>
      <c r="E525" s="17" t="s">
        <v>295</v>
      </c>
      <c r="F525" s="6"/>
      <c r="G525" s="22">
        <v>0</v>
      </c>
      <c r="H525" s="22">
        <v>16569.990000000002</v>
      </c>
      <c r="I525" s="22">
        <f t="shared" si="173"/>
        <v>16569.990000000002</v>
      </c>
      <c r="J525" s="22">
        <f t="shared" si="174"/>
        <v>16569.990000000002</v>
      </c>
      <c r="K525" s="22">
        <v>0</v>
      </c>
      <c r="L525" s="22">
        <v>0</v>
      </c>
      <c r="M525" s="22">
        <v>0</v>
      </c>
      <c r="N525" s="22">
        <f t="shared" si="175"/>
        <v>3679.4332012740133</v>
      </c>
      <c r="O525" s="22">
        <f t="shared" si="176"/>
        <v>16569.990000000002</v>
      </c>
      <c r="P525" s="22">
        <f t="shared" si="177"/>
        <v>16569.990000000002</v>
      </c>
      <c r="Q525" s="22">
        <v>-4394.1799999999976</v>
      </c>
      <c r="R525" s="22">
        <v>0</v>
      </c>
      <c r="S525" s="22">
        <f t="shared" si="178"/>
        <v>-4394.1799999999976</v>
      </c>
      <c r="T525" s="23">
        <f t="shared" si="179"/>
        <v>-4394.1799999999976</v>
      </c>
      <c r="U525" s="22">
        <v>0</v>
      </c>
      <c r="V525" s="22">
        <v>0</v>
      </c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</row>
    <row r="526" spans="1:35" ht="16.5" x14ac:dyDescent="0.3">
      <c r="A526" s="28"/>
      <c r="B526" s="28"/>
      <c r="C526" s="26"/>
      <c r="D526" s="1">
        <f>MAX(D523:D525)+NoOne</f>
        <v>4</v>
      </c>
      <c r="E526" s="17" t="s">
        <v>296</v>
      </c>
      <c r="F526" s="6"/>
      <c r="G526" s="22">
        <v>0</v>
      </c>
      <c r="H526" s="22">
        <v>56030.219999999994</v>
      </c>
      <c r="I526" s="22">
        <f t="shared" si="173"/>
        <v>56030.219999999994</v>
      </c>
      <c r="J526" s="22">
        <f t="shared" si="174"/>
        <v>56030.219999999994</v>
      </c>
      <c r="K526" s="22">
        <v>0</v>
      </c>
      <c r="L526" s="22">
        <v>0</v>
      </c>
      <c r="M526" s="22">
        <v>0</v>
      </c>
      <c r="N526" s="22">
        <f t="shared" si="175"/>
        <v>0</v>
      </c>
      <c r="O526" s="22">
        <f t="shared" si="176"/>
        <v>56030.219999999994</v>
      </c>
      <c r="P526" s="22">
        <f t="shared" si="177"/>
        <v>56030.219999999994</v>
      </c>
      <c r="Q526" s="22">
        <v>11326.120000000003</v>
      </c>
      <c r="R526" s="22">
        <v>0</v>
      </c>
      <c r="S526" s="22">
        <f t="shared" si="178"/>
        <v>11326.120000000003</v>
      </c>
      <c r="T526" s="23">
        <f t="shared" si="179"/>
        <v>11326.120000000003</v>
      </c>
      <c r="U526" s="22">
        <v>0</v>
      </c>
      <c r="V526" s="22">
        <v>0</v>
      </c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</row>
    <row r="527" spans="1:35" ht="16.5" x14ac:dyDescent="0.3">
      <c r="A527" s="28"/>
      <c r="B527" s="28"/>
      <c r="C527" s="26"/>
      <c r="D527" s="1">
        <f>MAX(D524:D526)+NoOne</f>
        <v>5</v>
      </c>
      <c r="E527" s="17" t="s">
        <v>297</v>
      </c>
      <c r="F527" s="6"/>
      <c r="G527" s="22">
        <v>0</v>
      </c>
      <c r="H527" s="22">
        <v>1820569.0999999999</v>
      </c>
      <c r="I527" s="22">
        <f t="shared" si="173"/>
        <v>1820569.0999999999</v>
      </c>
      <c r="J527" s="22">
        <f t="shared" si="174"/>
        <v>1820569.0999999999</v>
      </c>
      <c r="K527" s="22">
        <v>0</v>
      </c>
      <c r="L527" s="22">
        <v>0</v>
      </c>
      <c r="M527" s="22">
        <v>0</v>
      </c>
      <c r="N527" s="22">
        <f t="shared" si="175"/>
        <v>34958.270438329273</v>
      </c>
      <c r="O527" s="22">
        <f t="shared" si="176"/>
        <v>1820569.0999999999</v>
      </c>
      <c r="P527" s="22">
        <f t="shared" si="177"/>
        <v>1820569.0999999999</v>
      </c>
      <c r="Q527" s="22">
        <v>658707.48663066106</v>
      </c>
      <c r="R527" s="22">
        <v>0</v>
      </c>
      <c r="S527" s="22">
        <f t="shared" si="178"/>
        <v>658707.48663066106</v>
      </c>
      <c r="T527" s="23">
        <f t="shared" si="179"/>
        <v>658707.48663066106</v>
      </c>
      <c r="U527" s="22">
        <v>0</v>
      </c>
      <c r="V527" s="22">
        <v>0</v>
      </c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</row>
    <row r="528" spans="1:35" ht="16.5" x14ac:dyDescent="0.3">
      <c r="A528" s="28"/>
      <c r="B528" s="28"/>
      <c r="C528" s="26"/>
      <c r="D528" s="1">
        <f>MAX(D525:D527)+NoOne</f>
        <v>6</v>
      </c>
      <c r="E528" s="17" t="s">
        <v>298</v>
      </c>
      <c r="F528" s="6"/>
      <c r="G528" s="22">
        <v>4534362.55</v>
      </c>
      <c r="H528" s="22">
        <v>947902.68</v>
      </c>
      <c r="I528" s="22">
        <f t="shared" si="173"/>
        <v>5482265.2299999995</v>
      </c>
      <c r="J528" s="22">
        <f t="shared" si="174"/>
        <v>5482265.2299999995</v>
      </c>
      <c r="K528" s="22">
        <v>0</v>
      </c>
      <c r="L528" s="22">
        <v>0</v>
      </c>
      <c r="M528" s="22">
        <v>0</v>
      </c>
      <c r="N528" s="22">
        <f t="shared" si="175"/>
        <v>8048.6085516992907</v>
      </c>
      <c r="O528" s="22">
        <f t="shared" si="176"/>
        <v>5482265.2299999995</v>
      </c>
      <c r="P528" s="22">
        <f t="shared" si="177"/>
        <v>5482265.2299999995</v>
      </c>
      <c r="Q528" s="22">
        <v>-72.252545190291713</v>
      </c>
      <c r="R528" s="22">
        <v>0</v>
      </c>
      <c r="S528" s="22">
        <f t="shared" si="178"/>
        <v>-72.252545190291713</v>
      </c>
      <c r="T528" s="23">
        <f t="shared" si="179"/>
        <v>-72.252545190291713</v>
      </c>
      <c r="U528" s="22">
        <v>0</v>
      </c>
      <c r="V528" s="22">
        <v>0</v>
      </c>
      <c r="X528" s="6"/>
      <c r="Y528" s="6"/>
      <c r="Z528" s="1"/>
      <c r="AA528" s="6"/>
      <c r="AB528" s="6"/>
      <c r="AC528" s="6"/>
      <c r="AD528" s="6"/>
      <c r="AE528" s="6"/>
      <c r="AF528" s="6"/>
      <c r="AG528" s="6"/>
      <c r="AH528" s="6"/>
      <c r="AI528" s="6"/>
    </row>
    <row r="529" spans="1:35" ht="16.5" x14ac:dyDescent="0.3">
      <c r="A529" s="28"/>
      <c r="B529" s="28"/>
      <c r="C529" s="26"/>
      <c r="D529" s="1">
        <v>7</v>
      </c>
      <c r="E529" s="6" t="s">
        <v>299</v>
      </c>
      <c r="F529" s="23"/>
      <c r="G529" s="22">
        <v>7347719.665</v>
      </c>
      <c r="H529" s="22">
        <v>2357739.5</v>
      </c>
      <c r="I529" s="22">
        <f t="shared" si="173"/>
        <v>9705459.1649999991</v>
      </c>
      <c r="J529" s="22">
        <f t="shared" si="174"/>
        <v>9705459.1649999991</v>
      </c>
      <c r="K529" s="34"/>
      <c r="L529" s="34"/>
      <c r="M529" s="34"/>
      <c r="N529" s="22">
        <f t="shared" si="175"/>
        <v>7722.8554143018246</v>
      </c>
      <c r="O529" s="22">
        <f t="shared" si="176"/>
        <v>9705459.1649999991</v>
      </c>
      <c r="P529" s="22">
        <f t="shared" si="177"/>
        <v>9705459.1649999991</v>
      </c>
      <c r="Q529" s="22">
        <v>0.49999999958890839</v>
      </c>
      <c r="R529" s="34"/>
      <c r="S529" s="22">
        <f t="shared" si="178"/>
        <v>0.49999999958890839</v>
      </c>
      <c r="T529" s="23">
        <f t="shared" si="179"/>
        <v>0.49999999958890839</v>
      </c>
      <c r="U529" s="22">
        <v>0</v>
      </c>
      <c r="V529" s="22">
        <v>0</v>
      </c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</row>
    <row r="530" spans="1:35" ht="16.5" x14ac:dyDescent="0.3">
      <c r="A530" s="28"/>
      <c r="B530" s="28"/>
      <c r="C530" s="29"/>
      <c r="D530" s="1">
        <v>8</v>
      </c>
      <c r="E530" s="20" t="s">
        <v>300</v>
      </c>
      <c r="F530" s="63" t="s">
        <v>39</v>
      </c>
      <c r="G530" s="30">
        <f t="shared" ref="G530:V530" si="180">SUM(G524:G529)</f>
        <v>12550163.515000001</v>
      </c>
      <c r="H530" s="30">
        <f t="shared" si="180"/>
        <v>8620988.7083064392</v>
      </c>
      <c r="I530" s="30">
        <f t="shared" si="180"/>
        <v>21171152.22330644</v>
      </c>
      <c r="J530" s="30">
        <f t="shared" si="180"/>
        <v>21171152.22330644</v>
      </c>
      <c r="K530" s="30">
        <f t="shared" si="180"/>
        <v>0</v>
      </c>
      <c r="L530" s="30">
        <f t="shared" si="180"/>
        <v>0</v>
      </c>
      <c r="M530" s="30">
        <f t="shared" si="180"/>
        <v>0</v>
      </c>
      <c r="N530" s="30">
        <f t="shared" si="180"/>
        <v>140918.35794056923</v>
      </c>
      <c r="O530" s="30">
        <f t="shared" si="180"/>
        <v>21171152.22330644</v>
      </c>
      <c r="P530" s="30">
        <f t="shared" si="180"/>
        <v>21171152.22330644</v>
      </c>
      <c r="Q530" s="30">
        <f t="shared" si="180"/>
        <v>2862744.9888653229</v>
      </c>
      <c r="R530" s="30">
        <f t="shared" si="180"/>
        <v>0</v>
      </c>
      <c r="S530" s="30">
        <f t="shared" si="180"/>
        <v>2862744.9888653229</v>
      </c>
      <c r="T530" s="30">
        <f t="shared" si="180"/>
        <v>2862744.9888653229</v>
      </c>
      <c r="U530" s="30">
        <f t="shared" si="180"/>
        <v>0</v>
      </c>
      <c r="V530" s="30">
        <f t="shared" si="180"/>
        <v>0</v>
      </c>
      <c r="X530" s="20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</row>
    <row r="531" spans="1:35" ht="17.25" thickBot="1" x14ac:dyDescent="0.35">
      <c r="A531" s="28"/>
      <c r="B531" s="28"/>
      <c r="C531" s="29"/>
      <c r="D531" s="1">
        <f>MAX(D528:D530)+NoOne</f>
        <v>9</v>
      </c>
      <c r="E531" s="20" t="s">
        <v>301</v>
      </c>
      <c r="F531" s="63" t="s">
        <v>39</v>
      </c>
      <c r="G531" s="62">
        <f t="shared" ref="G531:V531" si="181">SUM(G530,G522)</f>
        <v>40667788.071816415</v>
      </c>
      <c r="H531" s="62">
        <f t="shared" si="181"/>
        <v>22675929.229721621</v>
      </c>
      <c r="I531" s="62">
        <f t="shared" si="181"/>
        <v>63343717.301538035</v>
      </c>
      <c r="J531" s="62">
        <f t="shared" si="181"/>
        <v>63343717.301538035</v>
      </c>
      <c r="K531" s="62">
        <f t="shared" si="181"/>
        <v>0</v>
      </c>
      <c r="L531" s="62">
        <f t="shared" si="181"/>
        <v>0</v>
      </c>
      <c r="M531" s="62">
        <f t="shared" si="181"/>
        <v>0</v>
      </c>
      <c r="N531" s="62">
        <f t="shared" si="181"/>
        <v>532535.06793316943</v>
      </c>
      <c r="O531" s="62">
        <f t="shared" si="181"/>
        <v>63343717.301538035</v>
      </c>
      <c r="P531" s="62">
        <f t="shared" si="181"/>
        <v>63343717.301538035</v>
      </c>
      <c r="Q531" s="62">
        <f t="shared" si="181"/>
        <v>27259473.9126921</v>
      </c>
      <c r="R531" s="62">
        <f t="shared" si="181"/>
        <v>0</v>
      </c>
      <c r="S531" s="62">
        <f t="shared" si="181"/>
        <v>27259473.9126921</v>
      </c>
      <c r="T531" s="62">
        <f t="shared" si="181"/>
        <v>27259473.9126921</v>
      </c>
      <c r="U531" s="62">
        <f t="shared" si="181"/>
        <v>0</v>
      </c>
      <c r="V531" s="62">
        <f t="shared" si="181"/>
        <v>0</v>
      </c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</row>
    <row r="532" spans="1:35" ht="17.25" thickTop="1" x14ac:dyDescent="0.3">
      <c r="A532" s="28"/>
      <c r="B532" s="28"/>
      <c r="C532" s="19"/>
      <c r="D532" s="1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</row>
    <row r="533" spans="1:35" ht="16.5" x14ac:dyDescent="0.3">
      <c r="A533" s="28"/>
      <c r="B533" s="28"/>
      <c r="C533" s="19"/>
      <c r="D533" s="1">
        <f>MAX(D530:D532)+NoOne</f>
        <v>10</v>
      </c>
      <c r="E533" s="20" t="s">
        <v>302</v>
      </c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</row>
    <row r="534" spans="1:35" ht="16.5" x14ac:dyDescent="0.3">
      <c r="A534" s="28"/>
      <c r="B534" s="28"/>
      <c r="C534" s="19"/>
      <c r="D534" s="1">
        <f>MAX(D531:D533)+NoOne</f>
        <v>11</v>
      </c>
      <c r="E534" s="6" t="s">
        <v>224</v>
      </c>
      <c r="F534" s="6"/>
      <c r="G534" s="93">
        <f t="shared" ref="G534:P534" si="182">IF(G$531&lt;&gt;0,G522/G$531,0)</f>
        <v>0.69139793162988583</v>
      </c>
      <c r="H534" s="93">
        <f t="shared" si="182"/>
        <v>0.61981762154175357</v>
      </c>
      <c r="I534" s="93">
        <f t="shared" si="182"/>
        <v>0.66577344801972349</v>
      </c>
      <c r="J534" s="93">
        <f t="shared" si="182"/>
        <v>0.66577344801972349</v>
      </c>
      <c r="K534" s="93">
        <f t="shared" si="182"/>
        <v>0</v>
      </c>
      <c r="L534" s="93">
        <f t="shared" si="182"/>
        <v>0</v>
      </c>
      <c r="M534" s="93">
        <f t="shared" si="182"/>
        <v>0</v>
      </c>
      <c r="N534" s="93">
        <f t="shared" si="182"/>
        <v>0.73538201251705415</v>
      </c>
      <c r="O534" s="93">
        <f t="shared" si="182"/>
        <v>0.66577344801972349</v>
      </c>
      <c r="P534" s="93">
        <f t="shared" si="182"/>
        <v>0.66577344801972349</v>
      </c>
      <c r="Q534" s="93">
        <f>IF(SUM($Q$531:$Q$531)&lt;&gt;0,SUM($Q522:$Q522)/SUM($Q$531:$Q$531))</f>
        <v>0.8949816493878695</v>
      </c>
      <c r="R534" s="93">
        <f>IF(R$531&lt;&gt;0,R522/R$531,0)</f>
        <v>0</v>
      </c>
      <c r="S534" s="93">
        <f>IF(S$531&lt;&gt;0,S522/S$531,0)</f>
        <v>0.8949816493878695</v>
      </c>
      <c r="T534" s="93">
        <f>IF(T$531&lt;&gt;0,T522/T$531,0)</f>
        <v>0.8949816493878695</v>
      </c>
      <c r="U534" s="93">
        <f>IF(U$531&lt;&gt;0,U522/U$531,0)</f>
        <v>0</v>
      </c>
      <c r="V534" s="93">
        <f>IF(V$531&lt;&gt;0,V522/V$531,0)</f>
        <v>0</v>
      </c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</row>
    <row r="535" spans="1:35" ht="16.5" x14ac:dyDescent="0.3">
      <c r="A535" s="28"/>
      <c r="B535" s="28"/>
      <c r="C535" s="19"/>
      <c r="D535" s="1"/>
      <c r="E535" s="21" t="s">
        <v>293</v>
      </c>
      <c r="F535" s="6"/>
      <c r="G535" s="93"/>
      <c r="H535" s="93"/>
      <c r="I535" s="93"/>
      <c r="J535" s="93"/>
      <c r="K535" s="93"/>
      <c r="L535" s="93"/>
      <c r="M535" s="93"/>
      <c r="N535" s="93"/>
      <c r="O535" s="93"/>
      <c r="P535" s="93"/>
      <c r="Q535" s="93"/>
      <c r="R535" s="93"/>
      <c r="S535" s="93"/>
      <c r="T535" s="93"/>
      <c r="U535" s="93"/>
      <c r="V535" s="93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</row>
    <row r="536" spans="1:35" ht="16.5" x14ac:dyDescent="0.3">
      <c r="A536" s="28"/>
      <c r="B536" s="28"/>
      <c r="C536" s="19"/>
      <c r="D536" s="1">
        <f>MAX(D533:D535)+NoOne</f>
        <v>12</v>
      </c>
      <c r="E536" s="27" t="s">
        <v>294</v>
      </c>
      <c r="F536" s="6"/>
      <c r="G536" s="93">
        <f t="shared" ref="G536:P541" si="183">IF(G$531&lt;&gt;0,G524/G$531,0)</f>
        <v>1.6427775683797115E-2</v>
      </c>
      <c r="H536" s="93">
        <f t="shared" si="183"/>
        <v>0.15091673569967526</v>
      </c>
      <c r="I536" s="93">
        <f t="shared" si="183"/>
        <v>6.457244210716892E-2</v>
      </c>
      <c r="J536" s="93">
        <f t="shared" si="183"/>
        <v>6.457244210716892E-2</v>
      </c>
      <c r="K536" s="93">
        <f t="shared" si="183"/>
        <v>0</v>
      </c>
      <c r="L536" s="93">
        <f t="shared" si="183"/>
        <v>0</v>
      </c>
      <c r="M536" s="93">
        <f t="shared" si="183"/>
        <v>0</v>
      </c>
      <c r="N536" s="93">
        <f t="shared" si="183"/>
        <v>0.16244787534972494</v>
      </c>
      <c r="O536" s="93">
        <f t="shared" si="183"/>
        <v>6.457244210716892E-2</v>
      </c>
      <c r="P536" s="93">
        <f t="shared" si="183"/>
        <v>6.457244210716892E-2</v>
      </c>
      <c r="Q536" s="93">
        <f t="shared" ref="Q536:Q541" si="184">IF(SUM($Q$531:$Q$531)&lt;&gt;0,SUM($Q524:$Q524)/SUM($Q$531:$Q$531))</f>
        <v>8.0602337441180033E-2</v>
      </c>
      <c r="R536" s="93">
        <f t="shared" ref="R536:V541" si="185">IF(R$531&lt;&gt;0,R524/R$531,0)</f>
        <v>0</v>
      </c>
      <c r="S536" s="93">
        <f t="shared" si="185"/>
        <v>8.0602337441180033E-2</v>
      </c>
      <c r="T536" s="93">
        <f t="shared" si="185"/>
        <v>8.0602337441180033E-2</v>
      </c>
      <c r="U536" s="93">
        <f t="shared" si="185"/>
        <v>0</v>
      </c>
      <c r="V536" s="93">
        <f t="shared" si="185"/>
        <v>0</v>
      </c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</row>
    <row r="537" spans="1:35" ht="16.5" x14ac:dyDescent="0.3">
      <c r="A537" s="28"/>
      <c r="B537" s="28"/>
      <c r="C537" s="19"/>
      <c r="D537" s="1">
        <f>MAX(D534:D536)+NoOne</f>
        <v>13</v>
      </c>
      <c r="E537" s="17" t="s">
        <v>295</v>
      </c>
      <c r="F537" s="6"/>
      <c r="G537" s="93">
        <f t="shared" si="183"/>
        <v>0</v>
      </c>
      <c r="H537" s="93">
        <f t="shared" si="183"/>
        <v>7.3073036311480067E-4</v>
      </c>
      <c r="I537" s="93">
        <f t="shared" si="183"/>
        <v>2.6158853167901575E-4</v>
      </c>
      <c r="J537" s="93">
        <f t="shared" si="183"/>
        <v>2.6158853167901575E-4</v>
      </c>
      <c r="K537" s="93">
        <f t="shared" si="183"/>
        <v>0</v>
      </c>
      <c r="L537" s="93">
        <f t="shared" si="183"/>
        <v>0</v>
      </c>
      <c r="M537" s="93">
        <f t="shared" si="183"/>
        <v>0</v>
      </c>
      <c r="N537" s="93">
        <f t="shared" si="183"/>
        <v>6.9092786988739011E-3</v>
      </c>
      <c r="O537" s="93">
        <f t="shared" si="183"/>
        <v>2.6158853167901575E-4</v>
      </c>
      <c r="P537" s="93">
        <f t="shared" si="183"/>
        <v>2.6158853167901575E-4</v>
      </c>
      <c r="Q537" s="93">
        <f t="shared" si="184"/>
        <v>-1.6119826868537081E-4</v>
      </c>
      <c r="R537" s="93">
        <f t="shared" si="185"/>
        <v>0</v>
      </c>
      <c r="S537" s="93">
        <f t="shared" si="185"/>
        <v>-1.6119826868537081E-4</v>
      </c>
      <c r="T537" s="93">
        <f t="shared" si="185"/>
        <v>-1.6119826868537081E-4</v>
      </c>
      <c r="U537" s="93">
        <f t="shared" si="185"/>
        <v>0</v>
      </c>
      <c r="V537" s="93">
        <f t="shared" si="185"/>
        <v>0</v>
      </c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</row>
    <row r="538" spans="1:35" ht="16.5" x14ac:dyDescent="0.3">
      <c r="A538" s="28"/>
      <c r="B538" s="28"/>
      <c r="C538" s="19"/>
      <c r="D538" s="1">
        <f>MAX(D535:D537)+NoOne</f>
        <v>14</v>
      </c>
      <c r="E538" s="17" t="s">
        <v>296</v>
      </c>
      <c r="F538" s="6"/>
      <c r="G538" s="93">
        <f t="shared" si="183"/>
        <v>0</v>
      </c>
      <c r="H538" s="93">
        <f t="shared" si="183"/>
        <v>2.4709117510633475E-3</v>
      </c>
      <c r="I538" s="93">
        <f t="shared" si="183"/>
        <v>8.845426569027634E-4</v>
      </c>
      <c r="J538" s="93">
        <f t="shared" si="183"/>
        <v>8.845426569027634E-4</v>
      </c>
      <c r="K538" s="93">
        <f t="shared" si="183"/>
        <v>0</v>
      </c>
      <c r="L538" s="93">
        <f t="shared" si="183"/>
        <v>0</v>
      </c>
      <c r="M538" s="93">
        <f t="shared" si="183"/>
        <v>0</v>
      </c>
      <c r="N538" s="93">
        <f t="shared" si="183"/>
        <v>0</v>
      </c>
      <c r="O538" s="93">
        <f t="shared" si="183"/>
        <v>8.845426569027634E-4</v>
      </c>
      <c r="P538" s="93">
        <f t="shared" si="183"/>
        <v>8.845426569027634E-4</v>
      </c>
      <c r="Q538" s="93">
        <f t="shared" si="184"/>
        <v>4.1549297819451036E-4</v>
      </c>
      <c r="R538" s="93">
        <f t="shared" si="185"/>
        <v>0</v>
      </c>
      <c r="S538" s="93">
        <f t="shared" si="185"/>
        <v>4.1549297819451036E-4</v>
      </c>
      <c r="T538" s="93">
        <f t="shared" si="185"/>
        <v>4.1549297819451036E-4</v>
      </c>
      <c r="U538" s="93">
        <f t="shared" si="185"/>
        <v>0</v>
      </c>
      <c r="V538" s="93">
        <f t="shared" si="185"/>
        <v>0</v>
      </c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</row>
    <row r="539" spans="1:35" ht="16.5" x14ac:dyDescent="0.3">
      <c r="A539" s="28"/>
      <c r="B539" s="28"/>
      <c r="C539" s="19"/>
      <c r="D539" s="1">
        <f>MAX(D536:D538)+NoOne</f>
        <v>15</v>
      </c>
      <c r="E539" s="17" t="s">
        <v>303</v>
      </c>
      <c r="F539" s="6"/>
      <c r="G539" s="93">
        <f t="shared" si="183"/>
        <v>0</v>
      </c>
      <c r="H539" s="93">
        <f t="shared" si="183"/>
        <v>8.0286416559007312E-2</v>
      </c>
      <c r="I539" s="93">
        <f t="shared" si="183"/>
        <v>2.8741115576363482E-2</v>
      </c>
      <c r="J539" s="93">
        <f t="shared" si="183"/>
        <v>2.8741115576363482E-2</v>
      </c>
      <c r="K539" s="93">
        <f t="shared" si="183"/>
        <v>0</v>
      </c>
      <c r="L539" s="93">
        <f t="shared" si="183"/>
        <v>0</v>
      </c>
      <c r="M539" s="93">
        <f t="shared" si="183"/>
        <v>0</v>
      </c>
      <c r="N539" s="93">
        <f t="shared" si="183"/>
        <v>6.5645011086324118E-2</v>
      </c>
      <c r="O539" s="93">
        <f t="shared" si="183"/>
        <v>2.8741115576363482E-2</v>
      </c>
      <c r="P539" s="93">
        <f t="shared" si="183"/>
        <v>2.8741115576363482E-2</v>
      </c>
      <c r="Q539" s="93">
        <f t="shared" si="184"/>
        <v>2.4164350667235903E-2</v>
      </c>
      <c r="R539" s="93">
        <f t="shared" si="185"/>
        <v>0</v>
      </c>
      <c r="S539" s="93">
        <f t="shared" si="185"/>
        <v>2.4164350667235903E-2</v>
      </c>
      <c r="T539" s="93">
        <f t="shared" si="185"/>
        <v>2.4164350667235903E-2</v>
      </c>
      <c r="U539" s="93">
        <f t="shared" si="185"/>
        <v>0</v>
      </c>
      <c r="V539" s="93">
        <f t="shared" si="185"/>
        <v>0</v>
      </c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</row>
    <row r="540" spans="1:35" ht="16.5" x14ac:dyDescent="0.3">
      <c r="A540" s="28"/>
      <c r="B540" s="28"/>
      <c r="C540" s="19"/>
      <c r="D540" s="1">
        <f>MAX(D537:D539)+NoOne</f>
        <v>16</v>
      </c>
      <c r="E540" s="17" t="s">
        <v>298</v>
      </c>
      <c r="F540" s="6"/>
      <c r="G540" s="93">
        <f t="shared" si="183"/>
        <v>0.11149764383527913</v>
      </c>
      <c r="H540" s="93">
        <f t="shared" si="183"/>
        <v>4.1802153746254081E-2</v>
      </c>
      <c r="I540" s="93">
        <f t="shared" si="183"/>
        <v>8.6547892412163277E-2</v>
      </c>
      <c r="J540" s="93">
        <f t="shared" si="183"/>
        <v>8.6547892412163277E-2</v>
      </c>
      <c r="K540" s="93">
        <f t="shared" si="183"/>
        <v>0</v>
      </c>
      <c r="L540" s="93">
        <f t="shared" si="183"/>
        <v>0</v>
      </c>
      <c r="M540" s="93">
        <f t="shared" si="183"/>
        <v>0</v>
      </c>
      <c r="N540" s="93">
        <f t="shared" si="183"/>
        <v>1.5113762522601333E-2</v>
      </c>
      <c r="O540" s="93">
        <f t="shared" si="183"/>
        <v>8.6547892412163277E-2</v>
      </c>
      <c r="P540" s="93">
        <f t="shared" si="183"/>
        <v>8.6547892412163277E-2</v>
      </c>
      <c r="Q540" s="93">
        <f t="shared" si="184"/>
        <v>-2.6505480414517718E-6</v>
      </c>
      <c r="R540" s="93">
        <f t="shared" si="185"/>
        <v>0</v>
      </c>
      <c r="S540" s="93">
        <f t="shared" si="185"/>
        <v>-2.6505480414517718E-6</v>
      </c>
      <c r="T540" s="93">
        <f t="shared" si="185"/>
        <v>-2.6505480414517718E-6</v>
      </c>
      <c r="U540" s="93">
        <f t="shared" si="185"/>
        <v>0</v>
      </c>
      <c r="V540" s="93">
        <f t="shared" si="185"/>
        <v>0</v>
      </c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</row>
    <row r="541" spans="1:35" ht="16.5" x14ac:dyDescent="0.3">
      <c r="A541" s="28"/>
      <c r="B541" s="28"/>
      <c r="C541" s="19"/>
      <c r="D541" s="1">
        <v>17</v>
      </c>
      <c r="E541" s="6" t="s">
        <v>299</v>
      </c>
      <c r="F541" s="6"/>
      <c r="G541" s="93">
        <f>IF(G$531&lt;&gt;0,G529/G$531,0)</f>
        <v>0.18067664885103785</v>
      </c>
      <c r="H541" s="93">
        <f t="shared" si="183"/>
        <v>0.10397543033913167</v>
      </c>
      <c r="I541" s="93">
        <f t="shared" si="183"/>
        <v>0.15321897069599896</v>
      </c>
      <c r="J541" s="93">
        <f t="shared" si="183"/>
        <v>0.15321897069599896</v>
      </c>
      <c r="K541" s="93">
        <f t="shared" si="183"/>
        <v>0</v>
      </c>
      <c r="L541" s="93">
        <f t="shared" si="183"/>
        <v>0</v>
      </c>
      <c r="M541" s="93">
        <f t="shared" si="183"/>
        <v>0</v>
      </c>
      <c r="N541" s="93">
        <f t="shared" si="183"/>
        <v>1.4502059825421685E-2</v>
      </c>
      <c r="O541" s="93">
        <f>IF(O$531&lt;&gt;0,O529/O$531,0)</f>
        <v>0.15321897069599896</v>
      </c>
      <c r="P541" s="93">
        <f>IF(P$531&lt;&gt;0,P529/P$531,0)</f>
        <v>0.15321897069599896</v>
      </c>
      <c r="Q541" s="93">
        <f t="shared" si="184"/>
        <v>1.8342246852977847E-8</v>
      </c>
      <c r="R541" s="93">
        <f t="shared" si="185"/>
        <v>0</v>
      </c>
      <c r="S541" s="93">
        <f t="shared" si="185"/>
        <v>1.8342246852977847E-8</v>
      </c>
      <c r="T541" s="93">
        <f t="shared" si="185"/>
        <v>1.8342246852977847E-8</v>
      </c>
      <c r="U541" s="95"/>
      <c r="V541" s="95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</row>
    <row r="542" spans="1:35" ht="16.5" x14ac:dyDescent="0.3">
      <c r="A542" s="28"/>
      <c r="B542" s="28"/>
      <c r="C542" s="115"/>
      <c r="D542" s="1">
        <f>MAX(D539:D541)+NoOne</f>
        <v>18</v>
      </c>
      <c r="E542" s="20" t="s">
        <v>300</v>
      </c>
      <c r="F542" s="20"/>
      <c r="G542" s="99">
        <f t="shared" ref="G542:V542" si="186">SUM(G536:G541)</f>
        <v>0.30860206837011406</v>
      </c>
      <c r="H542" s="99">
        <f t="shared" si="186"/>
        <v>0.38018237845824643</v>
      </c>
      <c r="I542" s="99">
        <f t="shared" si="186"/>
        <v>0.3342265519802764</v>
      </c>
      <c r="J542" s="99">
        <f t="shared" si="186"/>
        <v>0.3342265519802764</v>
      </c>
      <c r="K542" s="99">
        <f t="shared" si="186"/>
        <v>0</v>
      </c>
      <c r="L542" s="99">
        <f t="shared" si="186"/>
        <v>0</v>
      </c>
      <c r="M542" s="99">
        <f t="shared" si="186"/>
        <v>0</v>
      </c>
      <c r="N542" s="99">
        <f t="shared" si="186"/>
        <v>0.26461798748294596</v>
      </c>
      <c r="O542" s="99">
        <f t="shared" si="186"/>
        <v>0.3342265519802764</v>
      </c>
      <c r="P542" s="99">
        <f t="shared" si="186"/>
        <v>0.3342265519802764</v>
      </c>
      <c r="Q542" s="99">
        <f t="shared" si="186"/>
        <v>0.10501835061213048</v>
      </c>
      <c r="R542" s="99">
        <f t="shared" si="186"/>
        <v>0</v>
      </c>
      <c r="S542" s="99">
        <f t="shared" si="186"/>
        <v>0.10501835061213048</v>
      </c>
      <c r="T542" s="99">
        <f t="shared" si="186"/>
        <v>0.10501835061213048</v>
      </c>
      <c r="U542" s="99">
        <f t="shared" si="186"/>
        <v>0</v>
      </c>
      <c r="V542" s="99">
        <f t="shared" si="186"/>
        <v>0</v>
      </c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</row>
    <row r="543" spans="1:35" ht="17.25" thickBot="1" x14ac:dyDescent="0.35">
      <c r="A543" s="28"/>
      <c r="B543" s="28"/>
      <c r="C543" s="115"/>
      <c r="D543" s="1">
        <f>MAX(D540:D542)+NoOne</f>
        <v>19</v>
      </c>
      <c r="E543" s="20" t="s">
        <v>301</v>
      </c>
      <c r="F543" s="20"/>
      <c r="G543" s="105">
        <f t="shared" ref="G543:V543" si="187">SUM(G542,G534)</f>
        <v>0.99999999999999989</v>
      </c>
      <c r="H543" s="105">
        <f t="shared" si="187"/>
        <v>1</v>
      </c>
      <c r="I543" s="105">
        <f t="shared" si="187"/>
        <v>0.99999999999999989</v>
      </c>
      <c r="J543" s="105">
        <f t="shared" si="187"/>
        <v>0.99999999999999989</v>
      </c>
      <c r="K543" s="105">
        <f t="shared" si="187"/>
        <v>0</v>
      </c>
      <c r="L543" s="105">
        <f t="shared" si="187"/>
        <v>0</v>
      </c>
      <c r="M543" s="105">
        <f t="shared" si="187"/>
        <v>0</v>
      </c>
      <c r="N543" s="105">
        <f t="shared" si="187"/>
        <v>1</v>
      </c>
      <c r="O543" s="105">
        <f t="shared" si="187"/>
        <v>0.99999999999999989</v>
      </c>
      <c r="P543" s="105">
        <f t="shared" si="187"/>
        <v>0.99999999999999989</v>
      </c>
      <c r="Q543" s="105">
        <f t="shared" si="187"/>
        <v>1</v>
      </c>
      <c r="R543" s="105">
        <f t="shared" si="187"/>
        <v>0</v>
      </c>
      <c r="S543" s="105">
        <f t="shared" si="187"/>
        <v>1</v>
      </c>
      <c r="T543" s="105">
        <f t="shared" si="187"/>
        <v>1</v>
      </c>
      <c r="U543" s="105">
        <f t="shared" si="187"/>
        <v>0</v>
      </c>
      <c r="V543" s="105">
        <f t="shared" si="187"/>
        <v>0</v>
      </c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</row>
    <row r="544" spans="1:35" ht="17.25" thickTop="1" x14ac:dyDescent="0.3">
      <c r="A544" s="28"/>
      <c r="B544" s="28"/>
      <c r="C544" s="19"/>
      <c r="D544" s="1"/>
      <c r="E544" s="20" t="s">
        <v>304</v>
      </c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</row>
    <row r="545" spans="1:35" ht="16.5" x14ac:dyDescent="0.3">
      <c r="A545" s="28"/>
      <c r="B545" s="28"/>
      <c r="C545" s="19"/>
      <c r="D545" s="1">
        <f>MAX(D542:D544)+NoOne</f>
        <v>20</v>
      </c>
      <c r="E545" s="6" t="s">
        <v>224</v>
      </c>
      <c r="F545" s="22">
        <f>SUM(U545:V545)</f>
        <v>2741662.2362807542</v>
      </c>
      <c r="G545" s="22">
        <f>IF(IndexPlant=1,H$554*H534,0)</f>
        <v>0</v>
      </c>
      <c r="H545" s="22">
        <v>227682.5</v>
      </c>
      <c r="I545" s="22">
        <f>IF(IndexPlant=1,I$554*I534,0)</f>
        <v>0</v>
      </c>
      <c r="J545" s="22">
        <v>163934.20999260026</v>
      </c>
      <c r="K545" s="22">
        <v>536014.87751942116</v>
      </c>
      <c r="L545" s="22">
        <v>304820.96675024263</v>
      </c>
      <c r="M545" s="22">
        <v>0</v>
      </c>
      <c r="N545" s="22">
        <f>N$554*N534</f>
        <v>93709.373906071065</v>
      </c>
      <c r="O545" s="22">
        <f>O$554*O534</f>
        <v>-78.997937736563813</v>
      </c>
      <c r="P545" s="22">
        <f>P$554*P534</f>
        <v>-1159.6016343774982</v>
      </c>
      <c r="Q545" s="22">
        <f>Q$554*Q534</f>
        <v>0</v>
      </c>
      <c r="R545" s="22">
        <f>SUM(G545:Q545)</f>
        <v>1324923.3285962211</v>
      </c>
      <c r="S545" s="22">
        <f>S$554*S534</f>
        <v>872484.65453210392</v>
      </c>
      <c r="T545" s="22">
        <f>T$554*T534</f>
        <v>542041.96145349974</v>
      </c>
      <c r="U545" s="22">
        <f>SUM(R545:T545)</f>
        <v>2739449.9445818248</v>
      </c>
      <c r="V545" s="23">
        <f>+V471</f>
        <v>2212.2916989294954</v>
      </c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</row>
    <row r="546" spans="1:35" ht="16.5" x14ac:dyDescent="0.3">
      <c r="A546" s="28"/>
      <c r="B546" s="28"/>
      <c r="C546" s="19"/>
      <c r="D546" s="1"/>
      <c r="E546" s="21" t="s">
        <v>293</v>
      </c>
      <c r="F546" s="22"/>
      <c r="G546" s="22">
        <f>IF(IndexPlant=1,H$554*H535,0)</f>
        <v>0</v>
      </c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V546" s="23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</row>
    <row r="547" spans="1:35" ht="16.5" x14ac:dyDescent="0.3">
      <c r="A547" s="28"/>
      <c r="B547" s="28"/>
      <c r="C547" s="19"/>
      <c r="D547" s="1">
        <f t="shared" ref="D547:D554" si="188">MAX(D544:D546)+NoOne</f>
        <v>21</v>
      </c>
      <c r="E547" s="27" t="s">
        <v>294</v>
      </c>
      <c r="F547" s="22">
        <f t="shared" ref="F547:F554" si="189">SUM(U547:V547)</f>
        <v>284822.62837265455</v>
      </c>
      <c r="G547" s="22">
        <f>IF(IndexPlant=1,G$554*G536,0)</f>
        <v>0</v>
      </c>
      <c r="H547" s="22">
        <v>50295.68</v>
      </c>
      <c r="I547" s="22">
        <f>IF(IndexPlant=1,I$554*I536,0)</f>
        <v>0</v>
      </c>
      <c r="J547" s="22">
        <v>36213.510334964805</v>
      </c>
      <c r="K547" s="22">
        <v>7046.63</v>
      </c>
      <c r="L547" s="22">
        <v>43020.723639705262</v>
      </c>
      <c r="M547" s="22">
        <v>0</v>
      </c>
      <c r="N547" s="22">
        <f t="shared" ref="N547:Q552" si="190">N$554*N536</f>
        <v>20700.654125723759</v>
      </c>
      <c r="O547" s="22">
        <f t="shared" si="190"/>
        <v>-7.6619002699081546</v>
      </c>
      <c r="P547" s="22">
        <f t="shared" si="190"/>
        <v>-112.46815208076788</v>
      </c>
      <c r="Q547" s="22">
        <f t="shared" si="190"/>
        <v>0</v>
      </c>
      <c r="R547" s="22">
        <f t="shared" ref="R547:R552" si="191">SUM(G547:Q547)</f>
        <v>157157.06804804312</v>
      </c>
      <c r="S547" s="22">
        <f t="shared" ref="S547:T552" si="192">S$554*S536</f>
        <v>78576.250792345236</v>
      </c>
      <c r="T547" s="22">
        <f t="shared" si="192"/>
        <v>48816.47474474604</v>
      </c>
      <c r="U547" s="22">
        <f t="shared" ref="U547:U552" si="193">SUM(R547:T547)</f>
        <v>284549.79358513438</v>
      </c>
      <c r="V547" s="23">
        <f t="shared" ref="V547:V552" si="194">+U547/$U$553*$V$553</f>
        <v>272.8347875201834</v>
      </c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</row>
    <row r="548" spans="1:35" ht="16.5" x14ac:dyDescent="0.3">
      <c r="A548" s="28"/>
      <c r="B548" s="28"/>
      <c r="C548" s="19"/>
      <c r="D548" s="1">
        <f t="shared" si="188"/>
        <v>22</v>
      </c>
      <c r="E548" s="17" t="s">
        <v>295</v>
      </c>
      <c r="F548" s="22">
        <f t="shared" si="189"/>
        <v>4556.2217141688816</v>
      </c>
      <c r="G548" s="22">
        <f>G$554*G537</f>
        <v>0</v>
      </c>
      <c r="H548" s="22">
        <v>2139.19</v>
      </c>
      <c r="I548" s="22">
        <f t="shared" ref="H548:I549" si="195">IF(IndexPlant=1,I$554*I537,0)</f>
        <v>0</v>
      </c>
      <c r="J548" s="22">
        <v>1540.2432012740132</v>
      </c>
      <c r="K548" s="22">
        <v>0</v>
      </c>
      <c r="L548" s="22">
        <v>247.24</v>
      </c>
      <c r="M548" s="22">
        <v>0</v>
      </c>
      <c r="N548" s="22">
        <f t="shared" si="190"/>
        <v>880.44604028033837</v>
      </c>
      <c r="O548" s="22">
        <f t="shared" si="190"/>
        <v>-3.103901875276624E-2</v>
      </c>
      <c r="P548" s="22">
        <f t="shared" si="190"/>
        <v>-0.45561818328989628</v>
      </c>
      <c r="Q548" s="22">
        <f t="shared" si="190"/>
        <v>0</v>
      </c>
      <c r="R548" s="22">
        <f t="shared" si="191"/>
        <v>4806.63258435231</v>
      </c>
      <c r="S548" s="22">
        <f t="shared" si="192"/>
        <v>-157.14625641913779</v>
      </c>
      <c r="T548" s="22">
        <f t="shared" si="192"/>
        <v>-97.629069602587265</v>
      </c>
      <c r="U548" s="22">
        <f t="shared" si="193"/>
        <v>4551.857258330585</v>
      </c>
      <c r="V548" s="23">
        <f t="shared" si="194"/>
        <v>4.3644558382969425</v>
      </c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</row>
    <row r="549" spans="1:35" ht="16.5" x14ac:dyDescent="0.3">
      <c r="A549" s="28"/>
      <c r="B549" s="28"/>
      <c r="C549" s="19"/>
      <c r="D549" s="1">
        <f t="shared" si="188"/>
        <v>23</v>
      </c>
      <c r="E549" s="17" t="s">
        <v>296</v>
      </c>
      <c r="F549" s="22">
        <f t="shared" si="189"/>
        <v>1261.0528018816806</v>
      </c>
      <c r="G549" s="22">
        <f t="shared" ref="G549:G552" si="196">G$554*G538</f>
        <v>0</v>
      </c>
      <c r="H549" s="22">
        <f t="shared" si="195"/>
        <v>0</v>
      </c>
      <c r="I549" s="22">
        <f t="shared" si="195"/>
        <v>0</v>
      </c>
      <c r="J549" s="22"/>
      <c r="K549" s="22">
        <v>0</v>
      </c>
      <c r="L549" s="22">
        <v>604.80000000000007</v>
      </c>
      <c r="M549" s="22">
        <v>0</v>
      </c>
      <c r="N549" s="22">
        <f t="shared" si="190"/>
        <v>0</v>
      </c>
      <c r="O549" s="22">
        <f t="shared" si="190"/>
        <v>-0.10495619184451034</v>
      </c>
      <c r="P549" s="22">
        <f t="shared" si="190"/>
        <v>-1.540639858306083</v>
      </c>
      <c r="Q549" s="22">
        <f t="shared" si="190"/>
        <v>0</v>
      </c>
      <c r="R549" s="22">
        <f t="shared" si="191"/>
        <v>603.15440394984944</v>
      </c>
      <c r="S549" s="22">
        <f t="shared" si="192"/>
        <v>405.04880495426363</v>
      </c>
      <c r="T549" s="22">
        <f t="shared" si="192"/>
        <v>251.64161636693458</v>
      </c>
      <c r="U549" s="22">
        <f t="shared" si="193"/>
        <v>1259.8448252710477</v>
      </c>
      <c r="V549" s="23">
        <f t="shared" si="194"/>
        <v>1.2079766106327836</v>
      </c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</row>
    <row r="550" spans="1:35" ht="16.5" x14ac:dyDescent="0.3">
      <c r="A550" s="28"/>
      <c r="B550" s="28"/>
      <c r="C550" s="19"/>
      <c r="D550" s="1">
        <f t="shared" si="188"/>
        <v>24</v>
      </c>
      <c r="E550" s="17" t="s">
        <v>303</v>
      </c>
      <c r="F550" s="22">
        <f t="shared" si="189"/>
        <v>103072.44912366857</v>
      </c>
      <c r="G550" s="22">
        <f t="shared" si="196"/>
        <v>0</v>
      </c>
      <c r="H550" s="22">
        <v>20324.43</v>
      </c>
      <c r="I550" s="22">
        <f t="shared" ref="I550:I552" si="197">IF(IndexPlant=1,I$554*I539,0)</f>
        <v>0</v>
      </c>
      <c r="J550" s="22">
        <v>14633.840438329271</v>
      </c>
      <c r="K550" s="22">
        <v>0</v>
      </c>
      <c r="L550" s="22">
        <v>21511.826738677642</v>
      </c>
      <c r="M550" s="22">
        <v>0</v>
      </c>
      <c r="N550" s="22">
        <f t="shared" si="190"/>
        <v>8365.1119883951033</v>
      </c>
      <c r="O550" s="22">
        <f t="shared" si="190"/>
        <v>-3.410302506857684</v>
      </c>
      <c r="P550" s="22">
        <f t="shared" si="190"/>
        <v>-50.059437929396545</v>
      </c>
      <c r="Q550" s="22">
        <f t="shared" si="190"/>
        <v>0</v>
      </c>
      <c r="R550" s="22">
        <f t="shared" si="191"/>
        <v>64781.739424965766</v>
      </c>
      <c r="S550" s="22">
        <f t="shared" si="192"/>
        <v>23556.935673838507</v>
      </c>
      <c r="T550" s="22">
        <f t="shared" si="192"/>
        <v>14635.039770790037</v>
      </c>
      <c r="U550" s="22">
        <f t="shared" si="193"/>
        <v>102973.71486959432</v>
      </c>
      <c r="V550" s="23">
        <f t="shared" si="194"/>
        <v>98.73425407424881</v>
      </c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</row>
    <row r="551" spans="1:35" ht="16.5" x14ac:dyDescent="0.3">
      <c r="A551" s="28"/>
      <c r="B551" s="28"/>
      <c r="C551" s="19"/>
      <c r="D551" s="1">
        <f t="shared" si="188"/>
        <v>25</v>
      </c>
      <c r="E551" s="17" t="s">
        <v>298</v>
      </c>
      <c r="F551" s="22">
        <f t="shared" si="189"/>
        <v>9942.2425196725362</v>
      </c>
      <c r="G551" s="22">
        <f t="shared" si="196"/>
        <v>0</v>
      </c>
      <c r="H551" s="22">
        <v>4679.3900000000003</v>
      </c>
      <c r="I551" s="22">
        <f t="shared" si="197"/>
        <v>0</v>
      </c>
      <c r="J551" s="22">
        <v>3369.2185516992904</v>
      </c>
      <c r="K551" s="22">
        <v>0</v>
      </c>
      <c r="L551" s="22">
        <v>123.37295846318602</v>
      </c>
      <c r="M551" s="22">
        <v>0</v>
      </c>
      <c r="N551" s="22">
        <f t="shared" si="190"/>
        <v>1925.939442699065</v>
      </c>
      <c r="O551" s="22">
        <f t="shared" si="190"/>
        <v>-10.269416775846473</v>
      </c>
      <c r="P551" s="22">
        <f t="shared" si="190"/>
        <v>-150.74358671344794</v>
      </c>
      <c r="Q551" s="22">
        <f t="shared" si="190"/>
        <v>0</v>
      </c>
      <c r="R551" s="22">
        <f t="shared" si="191"/>
        <v>9936.9079493722475</v>
      </c>
      <c r="S551" s="22">
        <f t="shared" si="192"/>
        <v>-2.5839216858228222</v>
      </c>
      <c r="T551" s="22">
        <f t="shared" si="192"/>
        <v>-1.6052935390327832</v>
      </c>
      <c r="U551" s="22">
        <f t="shared" si="193"/>
        <v>9932.7187341473928</v>
      </c>
      <c r="V551" s="23">
        <f t="shared" si="194"/>
        <v>9.523785525144115</v>
      </c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</row>
    <row r="552" spans="1:35" ht="16.5" x14ac:dyDescent="0.3">
      <c r="A552" s="28"/>
      <c r="B552" s="28"/>
      <c r="C552" s="19"/>
      <c r="D552" s="1">
        <f t="shared" si="188"/>
        <v>26</v>
      </c>
      <c r="E552" s="6" t="s">
        <v>299</v>
      </c>
      <c r="F552" s="22">
        <f>SUM(U552:V552)</f>
        <v>9294.7310537896774</v>
      </c>
      <c r="G552" s="22">
        <f t="shared" si="196"/>
        <v>0</v>
      </c>
      <c r="H552" s="22">
        <v>4490</v>
      </c>
      <c r="I552" s="22">
        <f t="shared" si="197"/>
        <v>0</v>
      </c>
      <c r="J552" s="22">
        <v>3232.8554143018241</v>
      </c>
      <c r="K552" s="22">
        <v>-1.8189894035458565E-11</v>
      </c>
      <c r="L552" s="22">
        <v>0</v>
      </c>
      <c r="M552" s="34"/>
      <c r="N552" s="22">
        <f t="shared" si="190"/>
        <v>1847.9904640816007</v>
      </c>
      <c r="O552" s="22">
        <f t="shared" si="190"/>
        <v>-18.180332578754843</v>
      </c>
      <c r="P552" s="22">
        <f t="shared" si="190"/>
        <v>-266.86700913830202</v>
      </c>
      <c r="Q552" s="22">
        <f t="shared" si="190"/>
        <v>0</v>
      </c>
      <c r="R552" s="22">
        <f t="shared" si="191"/>
        <v>9285.7985366663488</v>
      </c>
      <c r="S552" s="22">
        <f t="shared" si="192"/>
        <v>1.7881181049699244E-2</v>
      </c>
      <c r="T552" s="22">
        <f t="shared" si="192"/>
        <v>1.1108906499314813E-2</v>
      </c>
      <c r="U552" s="22">
        <f t="shared" si="193"/>
        <v>9285.8275267538975</v>
      </c>
      <c r="V552" s="23">
        <f t="shared" si="194"/>
        <v>8.9035270357803764</v>
      </c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</row>
    <row r="553" spans="1:35" ht="16.5" x14ac:dyDescent="0.3">
      <c r="A553" s="28"/>
      <c r="B553" s="28"/>
      <c r="C553" s="115"/>
      <c r="D553" s="1">
        <f t="shared" si="188"/>
        <v>27</v>
      </c>
      <c r="E553" s="20" t="s">
        <v>300</v>
      </c>
      <c r="F553" s="30">
        <f t="shared" si="189"/>
        <v>412949.32558583585</v>
      </c>
      <c r="G553" s="30">
        <f t="shared" ref="G553:U553" si="198">SUM(G547:G552)</f>
        <v>0</v>
      </c>
      <c r="H553" s="30">
        <f t="shared" si="198"/>
        <v>81928.69</v>
      </c>
      <c r="I553" s="30">
        <f t="shared" si="198"/>
        <v>0</v>
      </c>
      <c r="J553" s="30">
        <f t="shared" si="198"/>
        <v>58989.667940569205</v>
      </c>
      <c r="K553" s="30">
        <f t="shared" si="198"/>
        <v>7046.6299999999819</v>
      </c>
      <c r="L553" s="30">
        <f t="shared" si="198"/>
        <v>65507.963336846093</v>
      </c>
      <c r="M553" s="30">
        <f t="shared" si="198"/>
        <v>0</v>
      </c>
      <c r="N553" s="30">
        <f t="shared" si="198"/>
        <v>33720.142061179868</v>
      </c>
      <c r="O553" s="30">
        <f t="shared" si="198"/>
        <v>-39.65794734196443</v>
      </c>
      <c r="P553" s="30">
        <f t="shared" si="198"/>
        <v>-582.13444390351037</v>
      </c>
      <c r="Q553" s="30">
        <f t="shared" si="198"/>
        <v>0</v>
      </c>
      <c r="R553" s="30">
        <f t="shared" si="198"/>
        <v>246571.30094734966</v>
      </c>
      <c r="S553" s="30">
        <f t="shared" si="198"/>
        <v>102378.52297421409</v>
      </c>
      <c r="T553" s="30">
        <f t="shared" si="198"/>
        <v>63603.932877667881</v>
      </c>
      <c r="U553" s="30">
        <f t="shared" si="198"/>
        <v>412553.75679923157</v>
      </c>
      <c r="V553" s="30">
        <f>+V472</f>
        <v>395.56878660428634</v>
      </c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</row>
    <row r="554" spans="1:35" ht="17.25" thickBot="1" x14ac:dyDescent="0.35">
      <c r="A554" s="28"/>
      <c r="B554" s="28"/>
      <c r="C554" s="115"/>
      <c r="D554" s="1">
        <f t="shared" si="188"/>
        <v>28</v>
      </c>
      <c r="E554" s="20" t="s">
        <v>301</v>
      </c>
      <c r="F554" s="62">
        <f t="shared" si="189"/>
        <v>3154611.5618665903</v>
      </c>
      <c r="G554" s="62">
        <f>V240</f>
        <v>0</v>
      </c>
      <c r="H554" s="62">
        <f>V241</f>
        <v>309611.19</v>
      </c>
      <c r="I554" s="62">
        <f>V269</f>
        <v>0</v>
      </c>
      <c r="J554" s="62">
        <f>+V242</f>
        <v>222923.87793316945</v>
      </c>
      <c r="K554" s="62">
        <f>SUM(K545,K553)</f>
        <v>543061.50751942117</v>
      </c>
      <c r="L554" s="62">
        <f>SUM(L545,L553)</f>
        <v>370328.93008708872</v>
      </c>
      <c r="M554" s="62">
        <f>SUM(M545,M553)</f>
        <v>0</v>
      </c>
      <c r="N554" s="62">
        <f>V176-SUM(K554:M554)</f>
        <v>127429.51596725092</v>
      </c>
      <c r="O554" s="62">
        <f>V304</f>
        <v>-118.65588507852826</v>
      </c>
      <c r="P554" s="62">
        <f>SUM(V302,V305,V306)</f>
        <v>-1741.7360782810088</v>
      </c>
      <c r="Q554" s="62">
        <f>V316</f>
        <v>0</v>
      </c>
      <c r="R554" s="62">
        <f>SUM(R545,R553)</f>
        <v>1571494.6295435708</v>
      </c>
      <c r="S554" s="62">
        <f>V319</f>
        <v>974863.17750631797</v>
      </c>
      <c r="T554" s="62">
        <f>V320</f>
        <v>605645.89433116768</v>
      </c>
      <c r="U554" s="62">
        <f>SUM(U545,U553)</f>
        <v>3152003.7013810566</v>
      </c>
      <c r="V554" s="62">
        <f>SUM(V545,V553)</f>
        <v>2607.8604855337817</v>
      </c>
      <c r="X554" s="6"/>
      <c r="Y554" s="6"/>
      <c r="Z554" s="1"/>
      <c r="AA554" s="6"/>
      <c r="AB554" s="6"/>
      <c r="AC554" s="6"/>
      <c r="AD554" s="6"/>
      <c r="AE554" s="6"/>
      <c r="AF554" s="6"/>
      <c r="AG554" s="6"/>
      <c r="AH554" s="6"/>
      <c r="AI554" s="6"/>
    </row>
    <row r="555" spans="1:35" ht="17.25" thickTop="1" x14ac:dyDescent="0.3">
      <c r="A555" s="28"/>
      <c r="B555" s="28"/>
      <c r="C555" s="19"/>
      <c r="D555" s="6"/>
      <c r="E555" s="6"/>
      <c r="F555" s="6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</row>
    <row r="556" spans="1:35" ht="16.5" x14ac:dyDescent="0.3">
      <c r="A556" s="19"/>
      <c r="B556" s="19"/>
      <c r="C556" s="19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</row>
    <row r="557" spans="1:35" ht="16.5" x14ac:dyDescent="0.3">
      <c r="A557" s="19"/>
      <c r="B557" s="19"/>
      <c r="C557" s="19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</row>
    <row r="558" spans="1:35" ht="13.5" x14ac:dyDescent="0.25">
      <c r="A558" s="19"/>
      <c r="B558" s="19"/>
      <c r="C558" s="19"/>
    </row>
    <row r="559" spans="1:35" ht="13.5" x14ac:dyDescent="0.25">
      <c r="A559" s="19"/>
      <c r="B559" s="19"/>
      <c r="C559" s="19"/>
    </row>
    <row r="560" spans="1:35" ht="17.25" thickBot="1" x14ac:dyDescent="0.35">
      <c r="A560" s="28"/>
      <c r="B560" s="28"/>
      <c r="C560" s="115" t="s">
        <v>305</v>
      </c>
      <c r="D560" s="6"/>
      <c r="E560" s="6"/>
      <c r="F560" s="6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6"/>
    </row>
    <row r="561" spans="1:24" ht="16.5" x14ac:dyDescent="0.3">
      <c r="A561" s="19" t="s">
        <v>306</v>
      </c>
      <c r="B561" s="19"/>
      <c r="C561" s="116">
        <f>MAX(B561)+NoOne</f>
        <v>1</v>
      </c>
      <c r="D561" s="117">
        <f t="shared" ref="D561:I561" si="199">MAX(C561)+NoOne</f>
        <v>2</v>
      </c>
      <c r="E561" s="117">
        <f t="shared" si="199"/>
        <v>3</v>
      </c>
      <c r="F561" s="117">
        <f t="shared" si="199"/>
        <v>4</v>
      </c>
      <c r="G561" s="117">
        <f t="shared" si="199"/>
        <v>5</v>
      </c>
      <c r="H561" s="117">
        <f t="shared" si="199"/>
        <v>6</v>
      </c>
      <c r="I561" s="117">
        <f t="shared" si="199"/>
        <v>7</v>
      </c>
      <c r="J561" s="117">
        <f t="shared" ref="J561:V561" si="200">MAX(I561)+NoOne</f>
        <v>8</v>
      </c>
      <c r="K561" s="117">
        <f t="shared" si="200"/>
        <v>9</v>
      </c>
      <c r="L561" s="117">
        <f t="shared" si="200"/>
        <v>10</v>
      </c>
      <c r="M561" s="117">
        <f t="shared" si="200"/>
        <v>11</v>
      </c>
      <c r="N561" s="117">
        <f t="shared" si="200"/>
        <v>12</v>
      </c>
      <c r="O561" s="117">
        <f t="shared" si="200"/>
        <v>13</v>
      </c>
      <c r="P561" s="117">
        <f t="shared" si="200"/>
        <v>14</v>
      </c>
      <c r="Q561" s="117">
        <f t="shared" si="200"/>
        <v>15</v>
      </c>
      <c r="R561" s="117">
        <f t="shared" si="200"/>
        <v>16</v>
      </c>
      <c r="S561" s="117">
        <f t="shared" si="200"/>
        <v>17</v>
      </c>
      <c r="T561" s="117">
        <f t="shared" si="200"/>
        <v>18</v>
      </c>
      <c r="U561" s="117">
        <f t="shared" si="200"/>
        <v>19</v>
      </c>
      <c r="V561" s="117">
        <f t="shared" si="200"/>
        <v>20</v>
      </c>
      <c r="X561" s="6"/>
    </row>
    <row r="562" spans="1:24" ht="16.5" x14ac:dyDescent="0.3">
      <c r="A562" s="19"/>
      <c r="B562" s="19"/>
      <c r="C562" s="118"/>
      <c r="D562" s="6"/>
      <c r="E562" s="20" t="s">
        <v>307</v>
      </c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119"/>
      <c r="X562" s="6"/>
    </row>
    <row r="563" spans="1:24" ht="16.5" x14ac:dyDescent="0.3">
      <c r="A563" s="28">
        <f>(SUM(G563:AF563)-F563)*1000</f>
        <v>0</v>
      </c>
      <c r="B563" s="28"/>
      <c r="C563" s="118" t="s">
        <v>308</v>
      </c>
      <c r="D563" s="6"/>
      <c r="E563" s="6" t="s">
        <v>309</v>
      </c>
      <c r="F563" s="120">
        <f>SUM(G563:V563)</f>
        <v>1</v>
      </c>
      <c r="G563" s="121">
        <f t="shared" ref="G563:V563" si="201">IF(SUM($F$250,$F$252)&lt;&gt;0,(SUM(G250,G252)/SUM($F$250,$F$252)),0)</f>
        <v>0.46908682580862349</v>
      </c>
      <c r="H563" s="121">
        <f t="shared" si="201"/>
        <v>0.16573092992103133</v>
      </c>
      <c r="I563" s="121">
        <f t="shared" si="201"/>
        <v>0.20396791018941923</v>
      </c>
      <c r="J563" s="121">
        <f t="shared" si="201"/>
        <v>2.8339813514556212E-2</v>
      </c>
      <c r="K563" s="121">
        <f t="shared" si="201"/>
        <v>1.9064287938169385E-2</v>
      </c>
      <c r="L563" s="121">
        <f t="shared" si="201"/>
        <v>3.595505787667231E-2</v>
      </c>
      <c r="M563" s="121">
        <f t="shared" si="201"/>
        <v>9.8091453342295486E-3</v>
      </c>
      <c r="N563" s="121">
        <f t="shared" si="201"/>
        <v>2.9982321493534411E-3</v>
      </c>
      <c r="O563" s="121">
        <f t="shared" si="201"/>
        <v>5.3071200649220185E-3</v>
      </c>
      <c r="P563" s="121">
        <f t="shared" si="201"/>
        <v>5.1946536373741158E-3</v>
      </c>
      <c r="Q563" s="121">
        <f t="shared" si="201"/>
        <v>5.8950747262517785E-3</v>
      </c>
      <c r="R563" s="121">
        <f t="shared" si="201"/>
        <v>1.7311812242002357E-3</v>
      </c>
      <c r="S563" s="121">
        <f t="shared" si="201"/>
        <v>5.3030250792462678E-3</v>
      </c>
      <c r="T563" s="121">
        <f t="shared" si="201"/>
        <v>1.4771710747037267E-3</v>
      </c>
      <c r="U563" s="121">
        <f t="shared" si="201"/>
        <v>3.2283923586848576E-2</v>
      </c>
      <c r="V563" s="122">
        <f t="shared" si="201"/>
        <v>7.8556478743983908E-3</v>
      </c>
      <c r="X563" s="6"/>
    </row>
    <row r="564" spans="1:24" ht="16.5" x14ac:dyDescent="0.3">
      <c r="A564" s="28">
        <f>(SUM(G564:AF564)-1)*1000</f>
        <v>0</v>
      </c>
      <c r="B564" s="28"/>
      <c r="C564" s="118" t="s">
        <v>310</v>
      </c>
      <c r="E564" s="6" t="s">
        <v>311</v>
      </c>
      <c r="F564" s="120">
        <f>SUM(G564:V564)</f>
        <v>1</v>
      </c>
      <c r="G564" s="121">
        <f t="shared" ref="G564:V564" si="202">IF($F$250&lt;&gt;0,G250/$F$250,0)</f>
        <v>0.48473600598565864</v>
      </c>
      <c r="H564" s="121">
        <f t="shared" si="202"/>
        <v>0.1712598704935383</v>
      </c>
      <c r="I564" s="121">
        <f t="shared" si="202"/>
        <v>0.2107724725886834</v>
      </c>
      <c r="J564" s="121">
        <f t="shared" si="202"/>
        <v>2.9285256497544185E-2</v>
      </c>
      <c r="K564" s="121">
        <f t="shared" si="202"/>
        <v>1.970029061502351E-2</v>
      </c>
      <c r="L564" s="121">
        <f t="shared" si="202"/>
        <v>3.7154552614171776E-2</v>
      </c>
      <c r="M564" s="121">
        <f t="shared" si="202"/>
        <v>1.0136387700189126E-2</v>
      </c>
      <c r="N564" s="121">
        <f t="shared" si="202"/>
        <v>3.0982560096205242E-3</v>
      </c>
      <c r="O564" s="121">
        <f t="shared" si="202"/>
        <v>5.4841706098269112E-3</v>
      </c>
      <c r="P564" s="121">
        <f t="shared" si="202"/>
        <v>5.3679521958838869E-3</v>
      </c>
      <c r="Q564" s="121">
        <f t="shared" si="202"/>
        <v>6.0917399947533445E-3</v>
      </c>
      <c r="R564" s="121">
        <f t="shared" si="202"/>
        <v>1.7889350672119395E-3</v>
      </c>
      <c r="S564" s="121">
        <f t="shared" si="202"/>
        <v>5.4799390115559295E-3</v>
      </c>
      <c r="T564" s="121">
        <f t="shared" si="202"/>
        <v>1.5264508988823196E-3</v>
      </c>
      <c r="U564" s="121">
        <f t="shared" si="202"/>
        <v>0</v>
      </c>
      <c r="V564" s="122">
        <f t="shared" si="202"/>
        <v>8.117719717456201E-3</v>
      </c>
      <c r="X564" s="6"/>
    </row>
    <row r="565" spans="1:24" ht="16.5" x14ac:dyDescent="0.3">
      <c r="A565" s="28"/>
      <c r="B565" s="28"/>
      <c r="C565" s="118" t="s">
        <v>312</v>
      </c>
      <c r="E565" s="6" t="s">
        <v>309</v>
      </c>
      <c r="F565" s="120">
        <f>SUM(G565:V565)</f>
        <v>0.99999999999999989</v>
      </c>
      <c r="G565" s="121">
        <f t="shared" ref="G565:U565" si="203">IF(SUM($F$250,$F$252)&lt;&gt;0,(SUM(G250,G252)/SUM($F$250-$V$250,$F$252-$V$252)),0)</f>
        <v>0.47280098385243735</v>
      </c>
      <c r="H565" s="121">
        <f t="shared" si="203"/>
        <v>0.16704316218296675</v>
      </c>
      <c r="I565" s="121">
        <f t="shared" si="203"/>
        <v>0.2055828970375449</v>
      </c>
      <c r="J565" s="121">
        <f t="shared" si="203"/>
        <v>2.8564203841749534E-2</v>
      </c>
      <c r="K565" s="121">
        <f t="shared" si="203"/>
        <v>1.9215236066531496E-2</v>
      </c>
      <c r="L565" s="121">
        <f t="shared" si="203"/>
        <v>3.6239744548906674E-2</v>
      </c>
      <c r="M565" s="121">
        <f t="shared" si="203"/>
        <v>9.886812653031915E-3</v>
      </c>
      <c r="N565" s="121">
        <f t="shared" si="203"/>
        <v>3.0219716948747762E-3</v>
      </c>
      <c r="O565" s="121">
        <f t="shared" si="203"/>
        <v>5.3491410333101992E-3</v>
      </c>
      <c r="P565" s="121">
        <f t="shared" si="203"/>
        <v>5.2357841137178531E-3</v>
      </c>
      <c r="Q565" s="121">
        <f t="shared" si="203"/>
        <v>5.9417510301016012E-3</v>
      </c>
      <c r="R565" s="121">
        <f t="shared" si="203"/>
        <v>1.7448884534708058E-3</v>
      </c>
      <c r="S565" s="121">
        <f t="shared" si="203"/>
        <v>5.3450136241615428E-3</v>
      </c>
      <c r="T565" s="121">
        <f t="shared" si="203"/>
        <v>1.4888670902968792E-3</v>
      </c>
      <c r="U565" s="121">
        <f t="shared" si="203"/>
        <v>3.2539542776897808E-2</v>
      </c>
      <c r="V565" s="122"/>
      <c r="X565" s="6"/>
    </row>
    <row r="566" spans="1:24" ht="16.5" x14ac:dyDescent="0.3">
      <c r="A566" s="28"/>
      <c r="B566" s="28"/>
      <c r="C566" s="118" t="s">
        <v>313</v>
      </c>
      <c r="E566" s="6" t="s">
        <v>309</v>
      </c>
      <c r="F566" s="120">
        <f>SUM(G566:V566)</f>
        <v>1.0000000000000002</v>
      </c>
      <c r="G566" s="123">
        <f t="shared" ref="G566:U566" si="204">IF($F$250&lt;&gt;0,G250/($F$250-$V$250),0)</f>
        <v>0.48870316127391505</v>
      </c>
      <c r="H566" s="123">
        <f t="shared" si="204"/>
        <v>0.17266148805960507</v>
      </c>
      <c r="I566" s="123">
        <f t="shared" si="204"/>
        <v>0.21249746747027637</v>
      </c>
      <c r="J566" s="123">
        <f t="shared" si="204"/>
        <v>2.9524931617088773E-2</v>
      </c>
      <c r="K566" s="123">
        <f t="shared" si="204"/>
        <v>1.9861520874646297E-2</v>
      </c>
      <c r="L566" s="123">
        <f t="shared" si="204"/>
        <v>3.7458631283934292E-2</v>
      </c>
      <c r="M566" s="123">
        <f t="shared" si="204"/>
        <v>1.0219345482512011E-2</v>
      </c>
      <c r="N566" s="123">
        <f t="shared" si="204"/>
        <v>3.1236126213868513E-3</v>
      </c>
      <c r="O566" s="123">
        <f t="shared" si="204"/>
        <v>5.5290539198509644E-3</v>
      </c>
      <c r="P566" s="123">
        <f t="shared" si="204"/>
        <v>5.4118843562310564E-3</v>
      </c>
      <c r="Q566" s="123">
        <f t="shared" si="204"/>
        <v>6.1415957476506937E-3</v>
      </c>
      <c r="R566" s="123">
        <f t="shared" si="204"/>
        <v>1.8035759916008886E-3</v>
      </c>
      <c r="S566" s="123">
        <f t="shared" si="204"/>
        <v>5.5247876895178879E-3</v>
      </c>
      <c r="T566" s="123">
        <f t="shared" si="204"/>
        <v>1.53894361178375E-3</v>
      </c>
      <c r="U566" s="124">
        <f t="shared" si="204"/>
        <v>0</v>
      </c>
      <c r="V566" s="125"/>
    </row>
    <row r="567" spans="1:24" ht="16.5" x14ac:dyDescent="0.3">
      <c r="A567" s="19"/>
      <c r="B567" s="19"/>
      <c r="C567" s="118"/>
      <c r="D567" s="6"/>
      <c r="E567" s="20" t="s">
        <v>314</v>
      </c>
      <c r="V567" s="125"/>
    </row>
    <row r="568" spans="1:24" ht="16.5" x14ac:dyDescent="0.3">
      <c r="A568" s="19"/>
      <c r="B568" s="19"/>
      <c r="C568" s="118"/>
      <c r="D568" s="6"/>
      <c r="E568" s="20" t="s">
        <v>315</v>
      </c>
      <c r="V568" s="125"/>
    </row>
    <row r="569" spans="1:24" ht="16.5" x14ac:dyDescent="0.3">
      <c r="A569" s="19"/>
      <c r="B569" s="19"/>
      <c r="C569" s="118"/>
      <c r="E569" s="120" t="s">
        <v>38</v>
      </c>
      <c r="F569" s="120">
        <v>0.3065225235452087</v>
      </c>
      <c r="G569" s="120">
        <f>+'Schedule G IslIntCos'!G$24/'Schedule G IslIntCos'!$F$24*'Schedule G IslIntCos'!$F$569</f>
        <v>0.15238067195280558</v>
      </c>
      <c r="H569" s="120">
        <f>+'Schedule G IslIntCos'!H$24/'Schedule G IslIntCos'!$F$24*'Schedule G IslIntCos'!$F$569</f>
        <v>0.1541418515924031</v>
      </c>
      <c r="I569" s="120">
        <f>+'Schedule G IslIntCos'!I$24/'Schedule G IslIntCos'!$F$24*'Schedule G IslIntCos'!$F$569</f>
        <v>0</v>
      </c>
      <c r="J569" s="120">
        <f>+'Schedule G IslIntCos'!J$24/'Schedule G IslIntCos'!$F$24*'Schedule G IslIntCos'!$F$569</f>
        <v>0</v>
      </c>
      <c r="K569" s="120"/>
      <c r="L569" s="120"/>
      <c r="V569" s="125"/>
    </row>
    <row r="570" spans="1:24" ht="16.5" x14ac:dyDescent="0.3">
      <c r="A570" s="19"/>
      <c r="B570" s="19"/>
      <c r="C570" s="118"/>
      <c r="E570" s="120" t="s">
        <v>60</v>
      </c>
      <c r="F570" s="120">
        <v>0.30483194921133377</v>
      </c>
      <c r="G570" s="120">
        <f>+'Schedule G IslIntCos'!G$25/'Schedule G IslIntCos'!$F$25*'Schedule G IslIntCos'!$F$570</f>
        <v>0.2708127036793489</v>
      </c>
      <c r="H570" s="120">
        <f>+'Schedule G IslIntCos'!H$25/'Schedule G IslIntCos'!$F$25*'Schedule G IslIntCos'!$F$570</f>
        <v>3.4019245531984849E-2</v>
      </c>
      <c r="I570" s="120">
        <f>+'Schedule G IslIntCos'!I$25/'Schedule G IslIntCos'!$F$25*'Schedule G IslIntCos'!$F$570</f>
        <v>0</v>
      </c>
      <c r="V570" s="125"/>
    </row>
    <row r="571" spans="1:24" ht="16.5" x14ac:dyDescent="0.3">
      <c r="A571" s="19"/>
      <c r="B571" s="19"/>
      <c r="C571" s="118"/>
      <c r="E571" s="120" t="s">
        <v>65</v>
      </c>
      <c r="F571" s="120">
        <v>6.3319866194748112E-3</v>
      </c>
      <c r="G571" s="120">
        <f>'Schedule G IslIntCos'!G28/'Schedule G IslIntCos'!$F28*$F571</f>
        <v>6.3319866194748112E-3</v>
      </c>
      <c r="H571" s="120">
        <f>'Schedule G IslIntCos'!H28/'Schedule G IslIntCos'!$F28*$F571</f>
        <v>0</v>
      </c>
      <c r="I571" s="120">
        <f>'Schedule G IslIntCos'!I28/'Schedule G IslIntCos'!$F28*$F571</f>
        <v>0</v>
      </c>
      <c r="J571" s="120">
        <f>'Schedule G IslIntCos'!J28/'Schedule G IslIntCos'!$F28*$F571</f>
        <v>0</v>
      </c>
      <c r="K571" s="120"/>
      <c r="L571" s="120"/>
      <c r="V571" s="125"/>
    </row>
    <row r="572" spans="1:24" ht="16.5" x14ac:dyDescent="0.3">
      <c r="A572" s="19"/>
      <c r="B572" s="19"/>
      <c r="C572" s="118"/>
      <c r="E572" s="120" t="s">
        <v>62</v>
      </c>
      <c r="F572" s="120">
        <v>7.5215814138153883E-2</v>
      </c>
      <c r="G572" s="120">
        <f>+'Schedule G IslIntCos'!G26/'Schedule G IslIntCos'!$F26*$F572</f>
        <v>7.5215814138153883E-2</v>
      </c>
      <c r="H572" s="120">
        <f>+'Schedule G IslIntCos'!H26/'Schedule G IslIntCos'!$F26*$F572</f>
        <v>0</v>
      </c>
      <c r="I572" s="120">
        <f>+'Schedule G IslIntCos'!I26/'Schedule G IslIntCos'!$F26*$F572</f>
        <v>0</v>
      </c>
      <c r="J572" s="120">
        <f>+'Schedule G IslIntCos'!J26/'Schedule G IslIntCos'!$F26*$F572</f>
        <v>0</v>
      </c>
      <c r="K572" s="120"/>
      <c r="L572" s="120"/>
      <c r="V572" s="125"/>
    </row>
    <row r="573" spans="1:24" ht="16.5" x14ac:dyDescent="0.3">
      <c r="A573" s="19"/>
      <c r="B573" s="19"/>
      <c r="C573" s="118"/>
      <c r="E573" s="120" t="s">
        <v>316</v>
      </c>
      <c r="F573" s="120">
        <v>1.358716933123298E-2</v>
      </c>
      <c r="G573" s="120">
        <f>+'Schedule G IslIntCos'!G29/'Schedule G IslIntCos'!$F29*$F573</f>
        <v>8.8896891689719936E-3</v>
      </c>
      <c r="H573" s="120">
        <f>+'Schedule G IslIntCos'!H29/'Schedule G IslIntCos'!$F29*$F573</f>
        <v>4.6974801622609828E-3</v>
      </c>
      <c r="I573" s="120">
        <f>+'Schedule G IslIntCos'!I29/'Schedule G IslIntCos'!$F29*$F573</f>
        <v>0</v>
      </c>
      <c r="J573" s="120">
        <f>+'Schedule G IslIntCos'!J29/'Schedule G IslIntCos'!$F29*$F573</f>
        <v>0</v>
      </c>
      <c r="K573" s="120"/>
      <c r="L573" s="120"/>
      <c r="V573" s="125"/>
    </row>
    <row r="574" spans="1:24" ht="16.5" x14ac:dyDescent="0.3">
      <c r="A574" s="19"/>
      <c r="B574" s="19"/>
      <c r="C574" s="118"/>
      <c r="E574" s="120" t="s">
        <v>143</v>
      </c>
      <c r="F574" s="120">
        <v>0</v>
      </c>
      <c r="G574" s="120">
        <f>'Schedule G IslIntCos'!G31/'Schedule G IslIntCos'!$F31*$F574</f>
        <v>0</v>
      </c>
      <c r="H574" s="120">
        <f>'Schedule G IslIntCos'!H31/'Schedule G IslIntCos'!$F31*$F574</f>
        <v>0</v>
      </c>
      <c r="I574" s="120">
        <f>'Schedule G IslIntCos'!I31/'Schedule G IslIntCos'!$F31*$F574</f>
        <v>0</v>
      </c>
      <c r="J574" s="120">
        <f>'Schedule G IslIntCos'!J31/'Schedule G IslIntCos'!$F31*$F574</f>
        <v>0</v>
      </c>
      <c r="K574" s="120">
        <f>'Schedule G IslIntCos'!K31/'Schedule G IslIntCos'!$F31*$F574</f>
        <v>0</v>
      </c>
      <c r="L574" s="120">
        <f>'Schedule G IslIntCos'!L31/'Schedule G IslIntCos'!$F31*$F574</f>
        <v>0</v>
      </c>
      <c r="M574" s="120">
        <f>'Schedule G IslIntCos'!M31/'Schedule G IslIntCos'!$F31*$F574</f>
        <v>0</v>
      </c>
      <c r="N574" s="120">
        <f>'Schedule G IslIntCos'!N31/'Schedule G IslIntCos'!$F31*$F574</f>
        <v>0</v>
      </c>
      <c r="O574" s="120">
        <f>'Schedule G IslIntCos'!O31/'Schedule G IslIntCos'!$F31*$F574</f>
        <v>0</v>
      </c>
      <c r="P574" s="120">
        <f>'Schedule G IslIntCos'!P31/'Schedule G IslIntCos'!$F31*$F574</f>
        <v>0</v>
      </c>
      <c r="Q574" s="120">
        <f>'Schedule G IslIntCos'!Q31/'Schedule G IslIntCos'!$F31*$F574</f>
        <v>0</v>
      </c>
      <c r="R574" s="120">
        <f>'Schedule G IslIntCos'!R31/'Schedule G IslIntCos'!$F31*$F574</f>
        <v>0</v>
      </c>
      <c r="S574" s="120">
        <f>'Schedule G IslIntCos'!S31/'Schedule G IslIntCos'!$F31*$F574</f>
        <v>0</v>
      </c>
      <c r="T574" s="120">
        <f>'Schedule G IslIntCos'!T31/'Schedule G IslIntCos'!$F31*$F574</f>
        <v>0</v>
      </c>
      <c r="U574" s="120">
        <f>'Schedule G IslIntCos'!U31/'Schedule G IslIntCos'!$F31*$F574</f>
        <v>0</v>
      </c>
      <c r="V574" s="126">
        <f>'Schedule G IslIntCos'!V31/'Schedule G IslIntCos'!$F31*$F574</f>
        <v>0</v>
      </c>
    </row>
    <row r="575" spans="1:24" ht="16.5" x14ac:dyDescent="0.3">
      <c r="A575" s="19"/>
      <c r="B575" s="19"/>
      <c r="C575" s="118"/>
      <c r="E575" s="120" t="s">
        <v>113</v>
      </c>
      <c r="F575" s="120">
        <v>0.11792000555194539</v>
      </c>
      <c r="G575" s="120">
        <f>'Schedule G IslIntCos'!G37/'Schedule G IslIntCos'!$F37*$F575</f>
        <v>1.0912730385516815E-2</v>
      </c>
      <c r="H575" s="120">
        <f>'Schedule G IslIntCos'!H37/'Schedule G IslIntCos'!$F37*$F575</f>
        <v>7.6705066981800074E-3</v>
      </c>
      <c r="I575" s="120">
        <f>'Schedule G IslIntCos'!I37/'Schedule G IslIntCos'!$F37*$F575</f>
        <v>8.0647740805751336E-2</v>
      </c>
      <c r="J575" s="120">
        <f>'Schedule G IslIntCos'!J37/'Schedule G IslIntCos'!$F37*$F575</f>
        <v>7.7981038462658515E-3</v>
      </c>
      <c r="K575" s="120">
        <f>'Schedule G IslIntCos'!K37/'Schedule G IslIntCos'!$F37*$F575</f>
        <v>5.0207744530064921E-3</v>
      </c>
      <c r="L575" s="120">
        <f>'Schedule G IslIntCos'!L37/'Schedule G IslIntCos'!$F37*$F575</f>
        <v>0</v>
      </c>
      <c r="M575" s="120">
        <f>'Schedule G IslIntCos'!M37/'Schedule G IslIntCos'!$F37*$F575</f>
        <v>0</v>
      </c>
      <c r="N575" s="120">
        <f>'Schedule G IslIntCos'!N37/'Schedule G IslIntCos'!$F37*$F575</f>
        <v>0</v>
      </c>
      <c r="O575" s="120">
        <f>'Schedule G IslIntCos'!O37/'Schedule G IslIntCos'!$F37*$F575</f>
        <v>0</v>
      </c>
      <c r="P575" s="120">
        <f>'Schedule G IslIntCos'!P37/'Schedule G IslIntCos'!$F37*$F575</f>
        <v>0</v>
      </c>
      <c r="Q575" s="120">
        <f>'Schedule G IslIntCos'!Q37/'Schedule G IslIntCos'!$F37*$F575</f>
        <v>0</v>
      </c>
      <c r="R575" s="120">
        <f>'Schedule G IslIntCos'!R37/'Schedule G IslIntCos'!$F37*$F575</f>
        <v>0</v>
      </c>
      <c r="S575" s="120">
        <f>'Schedule G IslIntCos'!S37/'Schedule G IslIntCos'!$F37*$F575</f>
        <v>0</v>
      </c>
      <c r="T575" s="120">
        <f>'Schedule G IslIntCos'!T37/'Schedule G IslIntCos'!$F37*$F575</f>
        <v>0</v>
      </c>
      <c r="U575" s="120">
        <f>'Schedule G IslIntCos'!U37/'Schedule G IslIntCos'!$F37*$F575</f>
        <v>0</v>
      </c>
      <c r="V575" s="126">
        <f>'Schedule G IslIntCos'!V37/'Schedule G IslIntCos'!$F37*$F575</f>
        <v>5.8701493632248728E-3</v>
      </c>
    </row>
    <row r="576" spans="1:24" ht="16.5" x14ac:dyDescent="0.3">
      <c r="A576" s="19"/>
      <c r="B576" s="19"/>
      <c r="C576" s="118"/>
      <c r="E576" s="120" t="s">
        <v>317</v>
      </c>
      <c r="F576" s="120">
        <v>3.4612990599576458E-3</v>
      </c>
      <c r="G576" s="120">
        <f>'Schedule G IslIntCos'!G38/'Schedule G IslIntCos'!$F38*$F576</f>
        <v>1.7996858289130025E-4</v>
      </c>
      <c r="H576" s="120">
        <f>'Schedule G IslIntCos'!H38/'Schedule G IslIntCos'!$F38*$F576</f>
        <v>1.4234198120534916E-4</v>
      </c>
      <c r="I576" s="120">
        <f>'Schedule G IslIntCos'!I38/'Schedule G IslIntCos'!$F38*$F576</f>
        <v>2.5081097719949963E-3</v>
      </c>
      <c r="J576" s="120">
        <f>'Schedule G IslIntCos'!J38/'Schedule G IslIntCos'!$F38*$F576</f>
        <v>3.7839235671215593E-4</v>
      </c>
      <c r="K576" s="120">
        <f>'Schedule G IslIntCos'!K38/'Schedule G IslIntCos'!$F38*$F576</f>
        <v>5.9185665727598343E-5</v>
      </c>
      <c r="L576" s="120">
        <f>'Schedule G IslIntCos'!L38/'Schedule G IslIntCos'!$F38*$F576</f>
        <v>0</v>
      </c>
      <c r="M576" s="120">
        <f>'Schedule G IslIntCos'!M38/'Schedule G IslIntCos'!$F38*$F576</f>
        <v>0</v>
      </c>
      <c r="N576" s="120">
        <f>'Schedule G IslIntCos'!N38/'Schedule G IslIntCos'!$F38*$F576</f>
        <v>0</v>
      </c>
      <c r="O576" s="120">
        <f>'Schedule G IslIntCos'!O38/'Schedule G IslIntCos'!$F38*$F576</f>
        <v>0</v>
      </c>
      <c r="P576" s="120">
        <f>'Schedule G IslIntCos'!P38/'Schedule G IslIntCos'!$F38*$F576</f>
        <v>0</v>
      </c>
      <c r="Q576" s="120">
        <f>'Schedule G IslIntCos'!Q38/'Schedule G IslIntCos'!$F38*$F576</f>
        <v>0</v>
      </c>
      <c r="R576" s="120">
        <f>'Schedule G IslIntCos'!R38/'Schedule G IslIntCos'!$F38*$F576</f>
        <v>0</v>
      </c>
      <c r="S576" s="120">
        <f>'Schedule G IslIntCos'!S38/'Schedule G IslIntCos'!$F38*$F576</f>
        <v>0</v>
      </c>
      <c r="T576" s="120">
        <f>'Schedule G IslIntCos'!T38/'Schedule G IslIntCos'!$F38*$F576</f>
        <v>0</v>
      </c>
      <c r="U576" s="120">
        <f>'Schedule G IslIntCos'!U38/'Schedule G IslIntCos'!$F38*$F576</f>
        <v>0</v>
      </c>
      <c r="V576" s="126">
        <f>'Schedule G IslIntCos'!V38/'Schedule G IslIntCos'!$F38*$F576</f>
        <v>1.9330070142624546E-4</v>
      </c>
    </row>
    <row r="577" spans="1:26" ht="16.5" x14ac:dyDescent="0.3">
      <c r="A577" s="19"/>
      <c r="B577" s="19"/>
      <c r="C577" s="118"/>
      <c r="E577" s="120" t="s">
        <v>9</v>
      </c>
      <c r="F577" s="120">
        <v>0.11523035106545196</v>
      </c>
      <c r="G577" s="120">
        <f>SUM('Schedule G IslIntCos'!G50,-'Schedule G IslIntCos'!G48)/SUM('Schedule G IslIntCos'!$F50,-'Schedule G IslIntCos'!$F48)*$F577</f>
        <v>0</v>
      </c>
      <c r="H577" s="120">
        <f>SUM('Schedule G IslIntCos'!H50,-'Schedule G IslIntCos'!H48)/SUM('Schedule G IslIntCos'!$F50,-'Schedule G IslIntCos'!$F48)*$F577</f>
        <v>0</v>
      </c>
      <c r="I577" s="120">
        <f>SUM('Schedule G IslIntCos'!I50,-'Schedule G IslIntCos'!I48)/SUM('Schedule G IslIntCos'!$F50,-'Schedule G IslIntCos'!$F48)*$F577</f>
        <v>0</v>
      </c>
      <c r="J577" s="120">
        <f>SUM('Schedule G IslIntCos'!J50,-'Schedule G IslIntCos'!J48)/SUM('Schedule G IslIntCos'!$F50,-'Schedule G IslIntCos'!$F48)*$F577</f>
        <v>0</v>
      </c>
      <c r="K577" s="120">
        <f>SUM('Schedule G IslIntCos'!K50,-'Schedule G IslIntCos'!K48)/SUM('Schedule G IslIntCos'!$F50,-'Schedule G IslIntCos'!$F48)*$F577</f>
        <v>1.7830163775440454E-2</v>
      </c>
      <c r="L577" s="120">
        <f>SUM('Schedule G IslIntCos'!L50,-'Schedule G IslIntCos'!L48)/SUM('Schedule G IslIntCos'!$F50,-'Schedule G IslIntCos'!$F48)*$F577</f>
        <v>5.1223496549133551E-2</v>
      </c>
      <c r="M577" s="120">
        <f>SUM('Schedule G IslIntCos'!M50,-'Schedule G IslIntCos'!M48)/SUM('Schedule G IslIntCos'!$F50,-'Schedule G IslIntCos'!$F48)*$F577</f>
        <v>1.3974632551039576E-2</v>
      </c>
      <c r="N577" s="120">
        <f>SUM('Schedule G IslIntCos'!N50,-'Schedule G IslIntCos'!N48)/SUM('Schedule G IslIntCos'!$F50,-'Schedule G IslIntCos'!$F48)*$F577</f>
        <v>4.2714417171206978E-3</v>
      </c>
      <c r="O577" s="120">
        <f>SUM('Schedule G IslIntCos'!O50,-'Schedule G IslIntCos'!O48)/SUM('Schedule G IslIntCos'!$F50,-'Schedule G IslIntCos'!$F48)*$F577</f>
        <v>7.5608068067593527E-3</v>
      </c>
      <c r="P577" s="120">
        <f>SUM('Schedule G IslIntCos'!P50,-'Schedule G IslIntCos'!P48)/SUM('Schedule G IslIntCos'!$F50,-'Schedule G IslIntCos'!$F48)*$F577</f>
        <v>7.4005811249330672E-3</v>
      </c>
      <c r="Q577" s="120">
        <f>SUM('Schedule G IslIntCos'!Q50,-'Schedule G IslIntCos'!Q48)/SUM('Schedule G IslIntCos'!$F50,-'Schedule G IslIntCos'!$F48)*$F577</f>
        <v>8.3984384320226219E-3</v>
      </c>
      <c r="R577" s="120">
        <f>SUM('Schedule G IslIntCos'!R50,-'Schedule G IslIntCos'!R48)/SUM('Schedule G IslIntCos'!$F50,-'Schedule G IslIntCos'!$F48)*$F577</f>
        <v>2.4663332699369515E-3</v>
      </c>
      <c r="S577" s="120">
        <f>SUM('Schedule G IslIntCos'!S50,-'Schedule G IslIntCos'!S48)/SUM('Schedule G IslIntCos'!$F50,-'Schedule G IslIntCos'!$F48)*$F577</f>
        <v>0</v>
      </c>
      <c r="T577" s="120">
        <f>SUM('Schedule G IslIntCos'!T50,-'Schedule G IslIntCos'!T48)/SUM('Schedule G IslIntCos'!$F50,-'Schedule G IslIntCos'!$F48)*$F577</f>
        <v>2.1044568390657038E-3</v>
      </c>
      <c r="U577" s="120">
        <f>SUM('Schedule G IslIntCos'!U50,-'Schedule G IslIntCos'!U48)/SUM('Schedule G IslIntCos'!$F50,-'Schedule G IslIntCos'!$F48)*$F577</f>
        <v>0</v>
      </c>
      <c r="V577" s="126">
        <f>SUM('Schedule G IslIntCos'!V50,-'Schedule G IslIntCos'!V48)/SUM('Schedule G IslIntCos'!$F50,-'Schedule G IslIntCos'!$F48)*$F577</f>
        <v>0</v>
      </c>
    </row>
    <row r="578" spans="1:26" ht="16.5" x14ac:dyDescent="0.3">
      <c r="A578" s="19"/>
      <c r="B578" s="19"/>
      <c r="C578" s="118"/>
      <c r="E578" s="120" t="s">
        <v>23</v>
      </c>
      <c r="F578" s="120">
        <v>6.4751815760543258E-3</v>
      </c>
      <c r="S578" s="120">
        <f>+F578</f>
        <v>6.4751815760543258E-3</v>
      </c>
      <c r="T578" s="120"/>
      <c r="U578" s="120"/>
      <c r="V578" s="125"/>
    </row>
    <row r="579" spans="1:26" ht="16.5" x14ac:dyDescent="0.3">
      <c r="A579" s="19"/>
      <c r="B579" s="19"/>
      <c r="C579" s="118"/>
      <c r="E579" s="120" t="s">
        <v>318</v>
      </c>
      <c r="F579" s="120">
        <v>5.0423719901186409E-2</v>
      </c>
      <c r="S579" s="120"/>
      <c r="T579" s="120"/>
      <c r="U579" s="120">
        <f>+F579</f>
        <v>5.0423719901186409E-2</v>
      </c>
      <c r="V579" s="125"/>
    </row>
    <row r="580" spans="1:26" ht="16.5" x14ac:dyDescent="0.3">
      <c r="A580" s="28">
        <f>(SUM(G580:AF580)-1)*1000</f>
        <v>-3.3306690738754696E-13</v>
      </c>
      <c r="B580" s="28"/>
      <c r="C580" s="118" t="s">
        <v>319</v>
      </c>
      <c r="E580" s="127" t="s">
        <v>15</v>
      </c>
      <c r="F580" s="128">
        <f>SUM(F569:F579)</f>
        <v>0.99999999999999989</v>
      </c>
      <c r="G580" s="128">
        <f>SUM(G569:G579)</f>
        <v>0.52472356452716329</v>
      </c>
      <c r="H580" s="128">
        <f>SUM(H569:H579)</f>
        <v>0.20067142596603429</v>
      </c>
      <c r="I580" s="128">
        <f>SUM(I569:I579)</f>
        <v>8.3155850577746326E-2</v>
      </c>
      <c r="J580" s="128">
        <f t="shared" ref="J580:V580" si="205">SUM(J569:J579)</f>
        <v>8.1764962029780078E-3</v>
      </c>
      <c r="K580" s="128">
        <f t="shared" si="205"/>
        <v>2.2910123894174544E-2</v>
      </c>
      <c r="L580" s="128">
        <f t="shared" si="205"/>
        <v>5.1223496549133551E-2</v>
      </c>
      <c r="M580" s="128">
        <f t="shared" si="205"/>
        <v>1.3974632551039576E-2</v>
      </c>
      <c r="N580" s="128">
        <f t="shared" si="205"/>
        <v>4.2714417171206978E-3</v>
      </c>
      <c r="O580" s="128">
        <f t="shared" si="205"/>
        <v>7.5608068067593527E-3</v>
      </c>
      <c r="P580" s="128">
        <f t="shared" si="205"/>
        <v>7.4005811249330672E-3</v>
      </c>
      <c r="Q580" s="128">
        <f t="shared" si="205"/>
        <v>8.3984384320226219E-3</v>
      </c>
      <c r="R580" s="128">
        <f t="shared" si="205"/>
        <v>2.4663332699369515E-3</v>
      </c>
      <c r="S580" s="128">
        <f t="shared" si="205"/>
        <v>6.4751815760543258E-3</v>
      </c>
      <c r="T580" s="128">
        <f t="shared" si="205"/>
        <v>2.1044568390657038E-3</v>
      </c>
      <c r="U580" s="128">
        <f t="shared" si="205"/>
        <v>5.0423719901186409E-2</v>
      </c>
      <c r="V580" s="129">
        <f t="shared" si="205"/>
        <v>6.0634500646511184E-3</v>
      </c>
      <c r="Z580" s="1"/>
    </row>
    <row r="581" spans="1:26" ht="13.5" x14ac:dyDescent="0.25">
      <c r="A581" s="19"/>
      <c r="B581" s="19"/>
      <c r="C581" s="118"/>
      <c r="V581" s="125"/>
    </row>
    <row r="582" spans="1:26" ht="16.5" x14ac:dyDescent="0.3">
      <c r="A582" s="19"/>
      <c r="B582" s="19"/>
      <c r="C582" s="118"/>
      <c r="E582" s="20" t="s">
        <v>320</v>
      </c>
      <c r="V582" s="125"/>
    </row>
    <row r="583" spans="1:26" ht="16.5" x14ac:dyDescent="0.3">
      <c r="A583" s="19"/>
      <c r="B583" s="19"/>
      <c r="C583" s="118"/>
      <c r="E583" s="120" t="s">
        <v>38</v>
      </c>
      <c r="F583" s="120">
        <v>0.32279926317589963</v>
      </c>
      <c r="G583" s="120">
        <f>+'Schedule G IslIntCos'!G$24/'Schedule G IslIntCos'!$F$24*'Schedule G IslIntCos'!$F$583</f>
        <v>0.16047228131788291</v>
      </c>
      <c r="H583" s="120">
        <f>+'Schedule G IslIntCos'!H$24/'Schedule G IslIntCos'!$F$24*'Schedule G IslIntCos'!$F$583</f>
        <v>0.16232698185801669</v>
      </c>
      <c r="I583" s="120">
        <f>+'Schedule G IslIntCos'!I$24/'Schedule G IslIntCos'!$F$24*'Schedule G IslIntCos'!$F$583</f>
        <v>0</v>
      </c>
      <c r="J583" s="120">
        <f>+'Schedule G IslIntCos'!J$24/'Schedule G IslIntCos'!$F$24*'Schedule G IslIntCos'!$F$583</f>
        <v>0</v>
      </c>
      <c r="V583" s="125"/>
    </row>
    <row r="584" spans="1:26" ht="16.5" x14ac:dyDescent="0.3">
      <c r="A584" s="19"/>
      <c r="B584" s="19"/>
      <c r="C584" s="118"/>
      <c r="E584" s="120" t="s">
        <v>60</v>
      </c>
      <c r="F584" s="120">
        <v>0.32101891717389225</v>
      </c>
      <c r="G584" s="120">
        <f>+'Schedule G IslIntCos'!G$25/'Schedule G IslIntCos'!$F$25*'Schedule G IslIntCos'!$F$584</f>
        <v>0.28519320601728587</v>
      </c>
      <c r="H584" s="120">
        <f>+'Schedule G IslIntCos'!H$25/'Schedule G IslIntCos'!$F$25*'Schedule G IslIntCos'!$F$584</f>
        <v>3.5825711156606377E-2</v>
      </c>
      <c r="I584" s="120">
        <f>+'Schedule G IslIntCos'!I$25/'Schedule G IslIntCos'!$F$25*'Schedule G IslIntCos'!$F$584</f>
        <v>0</v>
      </c>
      <c r="V584" s="125"/>
    </row>
    <row r="585" spans="1:26" ht="16.5" x14ac:dyDescent="0.3">
      <c r="A585" s="19"/>
      <c r="B585" s="19"/>
      <c r="C585" s="118"/>
      <c r="E585" s="120" t="s">
        <v>65</v>
      </c>
      <c r="F585" s="120">
        <v>6.668223240386649E-3</v>
      </c>
      <c r="G585" s="120">
        <f>'Schedule G IslIntCos'!G28/'Schedule G IslIntCos'!$F28*$F585</f>
        <v>6.668223240386649E-3</v>
      </c>
      <c r="H585" s="120">
        <f>'Schedule G IslIntCos'!H28/'Schedule G IslIntCos'!$F28*$F585</f>
        <v>0</v>
      </c>
      <c r="I585" s="120">
        <f>'Schedule G IslIntCos'!I28/'Schedule G IslIntCos'!$F28*$F585</f>
        <v>0</v>
      </c>
      <c r="J585" s="120">
        <f>'Schedule G IslIntCos'!J28/'Schedule G IslIntCos'!$F28*$F585</f>
        <v>0</v>
      </c>
      <c r="V585" s="125"/>
    </row>
    <row r="586" spans="1:26" ht="16.5" x14ac:dyDescent="0.3">
      <c r="A586" s="19"/>
      <c r="B586" s="19"/>
      <c r="C586" s="118"/>
      <c r="E586" s="120" t="s">
        <v>62</v>
      </c>
      <c r="F586" s="120">
        <v>7.9209870459618956E-2</v>
      </c>
      <c r="G586" s="120">
        <f>+'Schedule G IslIntCos'!G26/'Schedule G IslIntCos'!$F26*$F586</f>
        <v>7.9209870459618956E-2</v>
      </c>
      <c r="H586" s="120">
        <f>+'Schedule G IslIntCos'!H26/'Schedule G IslIntCos'!$F26*$F586</f>
        <v>0</v>
      </c>
      <c r="I586" s="120">
        <f>+'Schedule G IslIntCos'!I26/'Schedule G IslIntCos'!$F26*$F586</f>
        <v>0</v>
      </c>
      <c r="J586" s="120">
        <f>+'Schedule G IslIntCos'!J26/'Schedule G IslIntCos'!$F26*$F586</f>
        <v>0</v>
      </c>
      <c r="V586" s="125"/>
    </row>
    <row r="587" spans="1:26" ht="16.5" x14ac:dyDescent="0.3">
      <c r="A587" s="19"/>
      <c r="B587" s="19"/>
      <c r="C587" s="118"/>
      <c r="E587" s="120" t="s">
        <v>316</v>
      </c>
      <c r="F587" s="120">
        <v>1.4308665471107903E-2</v>
      </c>
      <c r="G587" s="120">
        <f>+'Schedule G IslIntCos'!G29/'Schedule G IslIntCos'!$F29*$F587</f>
        <v>9.3617430798154811E-3</v>
      </c>
      <c r="H587" s="120">
        <f>+'Schedule G IslIntCos'!H29/'Schedule G IslIntCos'!$F29*$F587</f>
        <v>4.9469223912924198E-3</v>
      </c>
      <c r="I587" s="120">
        <f>+'Schedule G IslIntCos'!I29/'Schedule G IslIntCos'!$F29*$F587</f>
        <v>0</v>
      </c>
      <c r="J587" s="120">
        <f>+'Schedule G IslIntCos'!J29/'Schedule G IslIntCos'!$F29*$F587</f>
        <v>0</v>
      </c>
      <c r="V587" s="125"/>
    </row>
    <row r="588" spans="1:26" ht="16.5" x14ac:dyDescent="0.3">
      <c r="A588" s="19"/>
      <c r="B588" s="19"/>
      <c r="C588" s="118"/>
      <c r="E588" s="120" t="s">
        <v>143</v>
      </c>
      <c r="F588" s="120">
        <v>0</v>
      </c>
      <c r="G588" s="120">
        <f>'Schedule G IslIntCos'!G31/'Schedule G IslIntCos'!$F31*$F588</f>
        <v>0</v>
      </c>
      <c r="H588" s="120">
        <f>'Schedule G IslIntCos'!H31/'Schedule G IslIntCos'!$F31*$F588</f>
        <v>0</v>
      </c>
      <c r="I588" s="120">
        <f>'Schedule G IslIntCos'!I31/'Schedule G IslIntCos'!$F31*$F588</f>
        <v>0</v>
      </c>
      <c r="J588" s="120">
        <f>'Schedule G IslIntCos'!J31/'Schedule G IslIntCos'!$F31*$F588</f>
        <v>0</v>
      </c>
      <c r="K588" s="120">
        <f>'Schedule G IslIntCos'!K31/'Schedule G IslIntCos'!$F31*$F588</f>
        <v>0</v>
      </c>
      <c r="L588" s="120">
        <f>'Schedule G IslIntCos'!L31/'Schedule G IslIntCos'!$F31*$F588</f>
        <v>0</v>
      </c>
      <c r="M588" s="120">
        <f>'Schedule G IslIntCos'!M31/'Schedule G IslIntCos'!$F31*$F588</f>
        <v>0</v>
      </c>
      <c r="N588" s="120">
        <f>'Schedule G IslIntCos'!N31/'Schedule G IslIntCos'!$F31*$F588</f>
        <v>0</v>
      </c>
      <c r="O588" s="120">
        <f>'Schedule G IslIntCos'!O31/'Schedule G IslIntCos'!$F31*$F588</f>
        <v>0</v>
      </c>
      <c r="P588" s="120">
        <f>'Schedule G IslIntCos'!P31/'Schedule G IslIntCos'!$F31*$F588</f>
        <v>0</v>
      </c>
      <c r="Q588" s="120">
        <f>'Schedule G IslIntCos'!Q31/'Schedule G IslIntCos'!$F31*$F588</f>
        <v>0</v>
      </c>
      <c r="R588" s="120">
        <f>'Schedule G IslIntCos'!R31/'Schedule G IslIntCos'!$F31*$F588</f>
        <v>0</v>
      </c>
      <c r="S588" s="120">
        <f>'Schedule G IslIntCos'!S31/'Schedule G IslIntCos'!$F31*$F588</f>
        <v>0</v>
      </c>
      <c r="T588" s="120">
        <f>'Schedule G IslIntCos'!T31/'Schedule G IslIntCos'!$F31*$F588</f>
        <v>0</v>
      </c>
      <c r="U588" s="120">
        <f>'Schedule G IslIntCos'!U31/'Schedule G IslIntCos'!$F31*$F588</f>
        <v>0</v>
      </c>
      <c r="V588" s="126">
        <f>'Schedule G IslIntCos'!V31/'Schedule G IslIntCos'!$F31*$F588</f>
        <v>0</v>
      </c>
    </row>
    <row r="589" spans="1:26" ht="16.5" x14ac:dyDescent="0.3">
      <c r="A589" s="19"/>
      <c r="B589" s="19"/>
      <c r="C589" s="118"/>
      <c r="E589" s="120" t="s">
        <v>113</v>
      </c>
      <c r="F589" s="120">
        <v>0.12418170927739955</v>
      </c>
      <c r="G589" s="120">
        <f>'Schedule G IslIntCos'!G37/'Schedule G IslIntCos'!$F37*$F589</f>
        <v>1.1492210382910185E-2</v>
      </c>
      <c r="H589" s="120">
        <f>'Schedule G IslIntCos'!H37/'Schedule G IslIntCos'!$F37*$F589</f>
        <v>8.0778204541733182E-3</v>
      </c>
      <c r="I589" s="120">
        <f>'Schedule G IslIntCos'!I37/'Schedule G IslIntCos'!$F37*$F589</f>
        <v>8.4930239408843575E-2</v>
      </c>
      <c r="J589" s="120">
        <f>'Schedule G IslIntCos'!J37/'Schedule G IslIntCos'!$F37*$F589</f>
        <v>8.2121931746803687E-3</v>
      </c>
      <c r="K589" s="120">
        <f>'Schedule G IslIntCos'!K37/'Schedule G IslIntCos'!$F37*$F589</f>
        <v>5.2873840240449423E-3</v>
      </c>
      <c r="L589" s="120">
        <f>'Schedule G IslIntCos'!L37/'Schedule G IslIntCos'!$F37*$F589</f>
        <v>0</v>
      </c>
      <c r="M589" s="120">
        <f>'Schedule G IslIntCos'!M37/'Schedule G IslIntCos'!$F37*$F589</f>
        <v>0</v>
      </c>
      <c r="N589" s="120">
        <f>'Schedule G IslIntCos'!N37/'Schedule G IslIntCos'!$F37*$F589</f>
        <v>0</v>
      </c>
      <c r="O589" s="120">
        <f>'Schedule G IslIntCos'!O37/'Schedule G IslIntCos'!$F37*$F589</f>
        <v>0</v>
      </c>
      <c r="P589" s="120">
        <f>'Schedule G IslIntCos'!P37/'Schedule G IslIntCos'!$F37*$F589</f>
        <v>0</v>
      </c>
      <c r="Q589" s="120">
        <f>'Schedule G IslIntCos'!Q37/'Schedule G IslIntCos'!$F37*$F589</f>
        <v>0</v>
      </c>
      <c r="R589" s="120">
        <f>'Schedule G IslIntCos'!R37/'Schedule G IslIntCos'!$F37*$F589</f>
        <v>0</v>
      </c>
      <c r="S589" s="120">
        <f>'Schedule G IslIntCos'!S37/'Schedule G IslIntCos'!$F37*$F589</f>
        <v>0</v>
      </c>
      <c r="T589" s="120">
        <f>'Schedule G IslIntCos'!T37/'Schedule G IslIntCos'!$F37*$F589</f>
        <v>0</v>
      </c>
      <c r="U589" s="120">
        <f>'Schedule G IslIntCos'!U37/'Schedule G IslIntCos'!$F37*$F589</f>
        <v>0</v>
      </c>
      <c r="V589" s="126">
        <f>'Schedule G IslIntCos'!V37/'Schedule G IslIntCos'!$F37*$F589</f>
        <v>6.1818618327471502E-3</v>
      </c>
    </row>
    <row r="590" spans="1:26" ht="16.5" x14ac:dyDescent="0.3">
      <c r="A590" s="19"/>
      <c r="B590" s="19"/>
      <c r="C590" s="118"/>
      <c r="E590" s="120" t="s">
        <v>317</v>
      </c>
      <c r="F590" s="120">
        <v>3.6450984849763311E-3</v>
      </c>
      <c r="G590" s="120">
        <f>'Schedule G IslIntCos'!G38/'Schedule G IslIntCos'!$F38*$F590</f>
        <v>1.8952514575508624E-4</v>
      </c>
      <c r="H590" s="120">
        <f>'Schedule G IslIntCos'!H38/'Schedule G IslIntCos'!$F38*$F590</f>
        <v>1.4990052320023933E-4</v>
      </c>
      <c r="I590" s="120">
        <f>'Schedule G IslIntCos'!I38/'Schedule G IslIntCos'!$F38*$F590</f>
        <v>2.6412936217551689E-3</v>
      </c>
      <c r="J590" s="120">
        <f>'Schedule G IslIntCos'!J38/'Schedule G IslIntCos'!$F38*$F590</f>
        <v>3.9848547677789523E-4</v>
      </c>
      <c r="K590" s="120">
        <f>'Schedule G IslIntCos'!K38/'Schedule G IslIntCos'!$F38*$F590</f>
        <v>6.2328500582848844E-5</v>
      </c>
      <c r="L590" s="120">
        <f>'Schedule G IslIntCos'!L38/'Schedule G IslIntCos'!$F38*$F590</f>
        <v>0</v>
      </c>
      <c r="M590" s="120">
        <f>'Schedule G IslIntCos'!M38/'Schedule G IslIntCos'!$F38*$F590</f>
        <v>0</v>
      </c>
      <c r="N590" s="120">
        <f>'Schedule G IslIntCos'!N38/'Schedule G IslIntCos'!$F38*$F590</f>
        <v>0</v>
      </c>
      <c r="O590" s="120">
        <f>'Schedule G IslIntCos'!O38/'Schedule G IslIntCos'!$F38*$F590</f>
        <v>0</v>
      </c>
      <c r="P590" s="120">
        <f>'Schedule G IslIntCos'!P38/'Schedule G IslIntCos'!$F38*$F590</f>
        <v>0</v>
      </c>
      <c r="Q590" s="120">
        <f>'Schedule G IslIntCos'!Q38/'Schedule G IslIntCos'!$F38*$F590</f>
        <v>0</v>
      </c>
      <c r="R590" s="120">
        <f>'Schedule G IslIntCos'!R38/'Schedule G IslIntCos'!$F38*$F590</f>
        <v>0</v>
      </c>
      <c r="S590" s="120">
        <f>'Schedule G IslIntCos'!S38/'Schedule G IslIntCos'!$F38*$F590</f>
        <v>0</v>
      </c>
      <c r="T590" s="120">
        <f>'Schedule G IslIntCos'!T38/'Schedule G IslIntCos'!$F38*$F590</f>
        <v>0</v>
      </c>
      <c r="U590" s="120">
        <f>'Schedule G IslIntCos'!U38/'Schedule G IslIntCos'!$F38*$F590</f>
        <v>0</v>
      </c>
      <c r="V590" s="126">
        <f>'Schedule G IslIntCos'!V38/'Schedule G IslIntCos'!$F38*$F590</f>
        <v>2.0356521690509209E-4</v>
      </c>
    </row>
    <row r="591" spans="1:26" ht="16.5" x14ac:dyDescent="0.3">
      <c r="A591" s="19"/>
      <c r="B591" s="19"/>
      <c r="C591" s="118"/>
      <c r="E591" s="120" t="s">
        <v>9</v>
      </c>
      <c r="F591" s="120">
        <v>0.12134923068366978</v>
      </c>
      <c r="G591" s="120">
        <f>SUM('Schedule G IslIntCos'!G50,-'Schedule G IslIntCos'!G48)/SUM('Schedule G IslIntCos'!$F50,-'Schedule G IslIntCos'!$F48)*$F591</f>
        <v>0</v>
      </c>
      <c r="H591" s="120">
        <f>SUM('Schedule G IslIntCos'!H50,-'Schedule G IslIntCos'!H48)/SUM('Schedule G IslIntCos'!$F50,-'Schedule G IslIntCos'!$F48)*$F591</f>
        <v>0</v>
      </c>
      <c r="I591" s="120">
        <f>SUM('Schedule G IslIntCos'!I50,-'Schedule G IslIntCos'!I48)/SUM('Schedule G IslIntCos'!$F50,-'Schedule G IslIntCos'!$F48)*$F591</f>
        <v>0</v>
      </c>
      <c r="J591" s="120">
        <f>SUM('Schedule G IslIntCos'!J50,-'Schedule G IslIntCos'!J48)/SUM('Schedule G IslIntCos'!$F50,-'Schedule G IslIntCos'!$F48)*$F591</f>
        <v>0</v>
      </c>
      <c r="K591" s="120">
        <f>SUM('Schedule G IslIntCos'!K50,-'Schedule G IslIntCos'!K48)/SUM('Schedule G IslIntCos'!$F50,-'Schedule G IslIntCos'!$F48)*$F591</f>
        <v>1.8776968369076191E-2</v>
      </c>
      <c r="L591" s="120">
        <f>SUM('Schedule G IslIntCos'!L50,-'Schedule G IslIntCos'!L48)/SUM('Schedule G IslIntCos'!$F50,-'Schedule G IslIntCos'!$F48)*$F591</f>
        <v>5.3943529996140167E-2</v>
      </c>
      <c r="M591" s="120">
        <f>SUM('Schedule G IslIntCos'!M50,-'Schedule G IslIntCos'!M48)/SUM('Schedule G IslIntCos'!$F50,-'Schedule G IslIntCos'!$F48)*$F591</f>
        <v>1.4716703485459184E-2</v>
      </c>
      <c r="N591" s="120">
        <f>SUM('Schedule G IslIntCos'!N50,-'Schedule G IslIntCos'!N48)/SUM('Schedule G IslIntCos'!$F50,-'Schedule G IslIntCos'!$F48)*$F591</f>
        <v>4.4982607576046539E-3</v>
      </c>
      <c r="O591" s="120">
        <f>SUM('Schedule G IslIntCos'!O50,-'Schedule G IslIntCos'!O48)/SUM('Schedule G IslIntCos'!$F50,-'Schedule G IslIntCos'!$F48)*$F591</f>
        <v>7.9622953576436954E-3</v>
      </c>
      <c r="P591" s="120">
        <f>SUM('Schedule G IslIntCos'!P50,-'Schedule G IslIntCos'!P48)/SUM('Schedule G IslIntCos'!$F50,-'Schedule G IslIntCos'!$F48)*$F591</f>
        <v>7.7935614863536362E-3</v>
      </c>
      <c r="Q591" s="120">
        <f>SUM('Schedule G IslIntCos'!Q50,-'Schedule G IslIntCos'!Q48)/SUM('Schedule G IslIntCos'!$F50,-'Schedule G IslIntCos'!$F48)*$F591</f>
        <v>8.8444062978791701E-3</v>
      </c>
      <c r="R591" s="120">
        <f>SUM('Schedule G IslIntCos'!R50,-'Schedule G IslIntCos'!R48)/SUM('Schedule G IslIntCos'!$F50,-'Schedule G IslIntCos'!$F48)*$F591</f>
        <v>2.5972987337892464E-3</v>
      </c>
      <c r="S591" s="120">
        <f>SUM('Schedule G IslIntCos'!S50,-'Schedule G IslIntCos'!S48)/SUM('Schedule G IslIntCos'!$F50,-'Schedule G IslIntCos'!$F48)*$F591</f>
        <v>0</v>
      </c>
      <c r="T591" s="120">
        <f>SUM('Schedule G IslIntCos'!T50,-'Schedule G IslIntCos'!T48)/SUM('Schedule G IslIntCos'!$F50,-'Schedule G IslIntCos'!$F48)*$F591</f>
        <v>2.2162061997238521E-3</v>
      </c>
      <c r="U591" s="120">
        <f>SUM('Schedule G IslIntCos'!U50,-'Schedule G IslIntCos'!U48)/SUM('Schedule G IslIntCos'!$F50,-'Schedule G IslIntCos'!$F48)*$F591</f>
        <v>0</v>
      </c>
      <c r="V591" s="126">
        <f>SUM('Schedule G IslIntCos'!V50,-'Schedule G IslIntCos'!V48)/SUM('Schedule G IslIntCos'!$F50,-'Schedule G IslIntCos'!$F48)*$F591</f>
        <v>0</v>
      </c>
    </row>
    <row r="592" spans="1:26" ht="16.5" x14ac:dyDescent="0.3">
      <c r="A592" s="19"/>
      <c r="B592" s="19"/>
      <c r="C592" s="118"/>
      <c r="E592" s="120" t="s">
        <v>23</v>
      </c>
      <c r="F592" s="120">
        <v>6.8190220330487964E-3</v>
      </c>
      <c r="S592" s="130">
        <f>+F592</f>
        <v>6.8190220330487964E-3</v>
      </c>
      <c r="V592" s="125"/>
    </row>
    <row r="593" spans="1:26" ht="16.5" x14ac:dyDescent="0.3">
      <c r="A593" s="19"/>
      <c r="B593" s="19"/>
      <c r="C593" s="118"/>
      <c r="E593" s="120" t="s">
        <v>318</v>
      </c>
      <c r="F593" s="120">
        <v>0</v>
      </c>
      <c r="V593" s="126">
        <f>+F593</f>
        <v>0</v>
      </c>
    </row>
    <row r="594" spans="1:26" ht="16.5" x14ac:dyDescent="0.3">
      <c r="A594" s="28">
        <f>(SUM(G594:AF594)-1)*1000</f>
        <v>-2.2204460492503131E-13</v>
      </c>
      <c r="B594" s="28"/>
      <c r="C594" s="118" t="s">
        <v>321</v>
      </c>
      <c r="E594" s="127" t="s">
        <v>15</v>
      </c>
      <c r="F594" s="128">
        <f>SUM(F583:F593)</f>
        <v>0.99999999999999978</v>
      </c>
      <c r="G594" s="128">
        <f>SUM(G583:G593)</f>
        <v>0.55258705964365507</v>
      </c>
      <c r="H594" s="128">
        <f>SUM(H583:H593)</f>
        <v>0.21132733638328904</v>
      </c>
      <c r="I594" s="128">
        <f>SUM(I583:I593)</f>
        <v>8.7571533030598739E-2</v>
      </c>
      <c r="J594" s="128">
        <f t="shared" ref="J594:V594" si="206">SUM(J583:J593)</f>
        <v>8.6106786514582642E-3</v>
      </c>
      <c r="K594" s="128">
        <f t="shared" si="206"/>
        <v>2.4126680893703983E-2</v>
      </c>
      <c r="L594" s="128">
        <f t="shared" si="206"/>
        <v>5.3943529996140167E-2</v>
      </c>
      <c r="M594" s="128">
        <f t="shared" si="206"/>
        <v>1.4716703485459184E-2</v>
      </c>
      <c r="N594" s="128">
        <f t="shared" si="206"/>
        <v>4.4982607576046539E-3</v>
      </c>
      <c r="O594" s="128">
        <f t="shared" si="206"/>
        <v>7.9622953576436954E-3</v>
      </c>
      <c r="P594" s="128">
        <f t="shared" si="206"/>
        <v>7.7935614863536362E-3</v>
      </c>
      <c r="Q594" s="128">
        <f t="shared" si="206"/>
        <v>8.8444062978791701E-3</v>
      </c>
      <c r="R594" s="128">
        <f t="shared" si="206"/>
        <v>2.5972987337892464E-3</v>
      </c>
      <c r="S594" s="128">
        <f t="shared" si="206"/>
        <v>6.8190220330487964E-3</v>
      </c>
      <c r="T594" s="128">
        <f t="shared" si="206"/>
        <v>2.2162061997238521E-3</v>
      </c>
      <c r="U594" s="128">
        <f t="shared" si="206"/>
        <v>0</v>
      </c>
      <c r="V594" s="129">
        <f t="shared" si="206"/>
        <v>6.3854270496522423E-3</v>
      </c>
    </row>
    <row r="595" spans="1:26" ht="13.5" x14ac:dyDescent="0.25">
      <c r="A595" s="19"/>
      <c r="B595" s="19"/>
      <c r="C595" s="118"/>
      <c r="V595" s="125"/>
    </row>
    <row r="596" spans="1:26" ht="16.5" x14ac:dyDescent="0.3">
      <c r="A596" s="28">
        <f>(SUM(G596:AF596)-1)*1000</f>
        <v>0</v>
      </c>
      <c r="B596" s="28"/>
      <c r="C596" s="118" t="s">
        <v>144</v>
      </c>
      <c r="E596" s="120" t="s">
        <v>322</v>
      </c>
      <c r="F596" s="120">
        <f>SUM(G596:V596)</f>
        <v>1</v>
      </c>
      <c r="G596" s="120">
        <f>SUM('Schedule G IslIntCos'!G50,-'Schedule G IslIntCos'!G48)/SUM('Schedule G IslIntCos'!$F50,-'Schedule G IslIntCos'!$F48)</f>
        <v>0</v>
      </c>
      <c r="H596" s="120">
        <f>SUM('Schedule G IslIntCos'!H50,-'Schedule G IslIntCos'!H48)/SUM('Schedule G IslIntCos'!$F50,-'Schedule G IslIntCos'!$F48)</f>
        <v>0</v>
      </c>
      <c r="I596" s="120">
        <f>SUM('Schedule G IslIntCos'!I50,-'Schedule G IslIntCos'!I48)/SUM('Schedule G IslIntCos'!$F50,-'Schedule G IslIntCos'!$F48)</f>
        <v>0</v>
      </c>
      <c r="J596" s="120">
        <f>SUM('Schedule G IslIntCos'!J50,-'Schedule G IslIntCos'!J48)/SUM('Schedule G IslIntCos'!$F50,-'Schedule G IslIntCos'!$F48)</f>
        <v>0</v>
      </c>
      <c r="K596" s="120">
        <f>SUM('Schedule G IslIntCos'!K50,-'Schedule G IslIntCos'!K48)/SUM('Schedule G IslIntCos'!$F50,-'Schedule G IslIntCos'!$F48)</f>
        <v>0.15473496010884102</v>
      </c>
      <c r="L596" s="120">
        <f>SUM('Schedule G IslIntCos'!L50,-'Schedule G IslIntCos'!L48)/SUM('Schedule G IslIntCos'!$F50,-'Schedule G IslIntCos'!$F48)</f>
        <v>0.44453128950408305</v>
      </c>
      <c r="M596" s="120">
        <f>SUM('Schedule G IslIntCos'!M50,-'Schedule G IslIntCos'!M48)/SUM('Schedule G IslIntCos'!$F50,-'Schedule G IslIntCos'!$F48)</f>
        <v>0.1212756224538607</v>
      </c>
      <c r="N596" s="120">
        <f>SUM('Schedule G IslIntCos'!N50,-'Schedule G IslIntCos'!N48)/SUM('Schedule G IslIntCos'!$F50,-'Schedule G IslIntCos'!$F48)</f>
        <v>3.706872085024264E-2</v>
      </c>
      <c r="O596" s="120">
        <f>SUM('Schedule G IslIntCos'!O50,-'Schedule G IslIntCos'!O48)/SUM('Schedule G IslIntCos'!$F50,-'Schedule G IslIntCos'!$F48)</f>
        <v>6.5614716408047224E-2</v>
      </c>
      <c r="P596" s="120">
        <f>SUM('Schedule G IslIntCos'!P50,-'Schedule G IslIntCos'!P48)/SUM('Schedule G IslIntCos'!$F50,-'Schedule G IslIntCos'!$F48)</f>
        <v>6.4224234817521861E-2</v>
      </c>
      <c r="Q596" s="120">
        <f>SUM('Schedule G IslIntCos'!Q50,-'Schedule G IslIntCos'!Q48)/SUM('Schedule G IslIntCos'!$F50,-'Schedule G IslIntCos'!$F48)</f>
        <v>7.288390909485494E-2</v>
      </c>
      <c r="R596" s="120">
        <f>SUM('Schedule G IslIntCos'!R50,-'Schedule G IslIntCos'!R48)/SUM('Schedule G IslIntCos'!$F50,-'Schedule G IslIntCos'!$F48)</f>
        <v>2.1403503913097081E-2</v>
      </c>
      <c r="S596" s="120">
        <f>SUM('Schedule G IslIntCos'!S50,-'Schedule G IslIntCos'!S48)/SUM('Schedule G IslIntCos'!$F50,-'Schedule G IslIntCos'!$F48)</f>
        <v>0</v>
      </c>
      <c r="T596" s="120">
        <f>SUM('Schedule G IslIntCos'!T50,-'Schedule G IslIntCos'!T48)/SUM('Schedule G IslIntCos'!$F50,-'Schedule G IslIntCos'!$F48)</f>
        <v>1.8263042849451634E-2</v>
      </c>
      <c r="U596" s="120">
        <f>SUM('Schedule G IslIntCos'!U50,-'Schedule G IslIntCos'!U48)/SUM('Schedule G IslIntCos'!$F50,-'Schedule G IslIntCos'!$F48)</f>
        <v>0</v>
      </c>
      <c r="V596" s="126">
        <f>SUM('Schedule G IslIntCos'!V50,-'Schedule G IslIntCos'!V48)/SUM('Schedule G IslIntCos'!$F50,-'Schedule G IslIntCos'!$F48)</f>
        <v>0</v>
      </c>
    </row>
    <row r="597" spans="1:26" ht="13.5" x14ac:dyDescent="0.25">
      <c r="A597" s="19"/>
      <c r="B597" s="19"/>
      <c r="C597" s="118"/>
      <c r="V597" s="125"/>
    </row>
    <row r="598" spans="1:26" ht="14.25" thickBot="1" x14ac:dyDescent="0.3">
      <c r="A598" s="19"/>
      <c r="B598" s="19"/>
      <c r="C598" s="131" t="s">
        <v>323</v>
      </c>
      <c r="D598" s="132"/>
      <c r="E598" s="132"/>
      <c r="F598" s="132"/>
      <c r="G598" s="132"/>
      <c r="H598" s="132"/>
      <c r="I598" s="132"/>
      <c r="J598" s="132"/>
      <c r="K598" s="132"/>
      <c r="L598" s="132"/>
      <c r="M598" s="132"/>
      <c r="N598" s="132"/>
      <c r="O598" s="132"/>
      <c r="P598" s="132"/>
      <c r="Q598" s="132"/>
      <c r="R598" s="132"/>
      <c r="S598" s="132"/>
      <c r="T598" s="132"/>
      <c r="U598" s="132"/>
      <c r="V598" s="133"/>
    </row>
    <row r="606" spans="1:26" x14ac:dyDescent="0.2">
      <c r="Z606" s="1"/>
    </row>
    <row r="623" spans="6:14" ht="15" x14ac:dyDescent="0.25">
      <c r="F623" s="134"/>
      <c r="G623" s="134"/>
      <c r="H623" s="134"/>
      <c r="I623" s="134"/>
      <c r="J623" s="134"/>
      <c r="K623" s="135"/>
      <c r="L623" s="135"/>
      <c r="M623" s="135"/>
      <c r="N623" s="135"/>
    </row>
    <row r="624" spans="6:14" ht="15" x14ac:dyDescent="0.25">
      <c r="F624" s="134"/>
      <c r="G624" s="136"/>
      <c r="H624" s="136"/>
      <c r="I624" s="134"/>
      <c r="J624" s="134"/>
      <c r="K624" s="135"/>
      <c r="L624" s="137"/>
      <c r="M624" s="137"/>
      <c r="N624" s="135"/>
    </row>
    <row r="625" spans="6:26" ht="15" x14ac:dyDescent="0.25">
      <c r="F625" s="134"/>
      <c r="G625" s="138"/>
      <c r="H625" s="138"/>
      <c r="I625" s="139"/>
      <c r="J625" s="140"/>
      <c r="K625" s="135"/>
      <c r="L625" s="138"/>
      <c r="M625" s="138"/>
      <c r="N625" s="139"/>
      <c r="O625" s="141"/>
    </row>
    <row r="626" spans="6:26" ht="15" x14ac:dyDescent="0.25">
      <c r="F626" s="134"/>
      <c r="G626" s="134"/>
      <c r="H626" s="134"/>
      <c r="I626" s="139"/>
      <c r="J626" s="134"/>
      <c r="K626" s="135"/>
      <c r="L626" s="135"/>
      <c r="M626" s="135"/>
      <c r="N626" s="139"/>
      <c r="O626" s="141"/>
    </row>
    <row r="627" spans="6:26" ht="15" x14ac:dyDescent="0.25">
      <c r="F627" s="134"/>
      <c r="G627" s="142"/>
      <c r="H627" s="134"/>
      <c r="I627" s="139"/>
      <c r="J627" s="140"/>
      <c r="K627" s="135"/>
      <c r="L627" s="143"/>
      <c r="M627" s="143"/>
      <c r="N627" s="139"/>
      <c r="O627" s="141"/>
    </row>
    <row r="628" spans="6:26" ht="15" x14ac:dyDescent="0.25">
      <c r="F628" s="134"/>
      <c r="G628" s="134"/>
      <c r="H628" s="134"/>
      <c r="I628" s="134"/>
      <c r="J628" s="134"/>
      <c r="K628" s="135"/>
      <c r="L628" s="135"/>
      <c r="M628" s="135"/>
      <c r="N628" s="135"/>
    </row>
    <row r="629" spans="6:26" ht="15" x14ac:dyDescent="0.25">
      <c r="F629" s="134"/>
      <c r="G629" s="134"/>
      <c r="H629" s="134"/>
      <c r="I629" s="144"/>
      <c r="J629" s="145"/>
      <c r="K629" s="135"/>
      <c r="L629" s="135"/>
      <c r="M629" s="135"/>
      <c r="N629" s="146"/>
    </row>
    <row r="630" spans="6:26" ht="15" x14ac:dyDescent="0.25">
      <c r="F630" s="134"/>
      <c r="G630" s="134"/>
      <c r="H630" s="134"/>
      <c r="I630" s="134"/>
      <c r="J630" s="134"/>
      <c r="K630" s="135"/>
      <c r="L630" s="135"/>
      <c r="M630" s="135"/>
      <c r="N630" s="135"/>
    </row>
    <row r="631" spans="6:26" ht="15" x14ac:dyDescent="0.25">
      <c r="F631" s="134"/>
      <c r="G631" s="134"/>
      <c r="H631" s="134"/>
      <c r="I631" s="134"/>
      <c r="J631" s="134"/>
      <c r="K631" s="135"/>
      <c r="L631" s="135"/>
      <c r="M631" s="135"/>
      <c r="N631" s="135"/>
    </row>
    <row r="632" spans="6:26" ht="15" x14ac:dyDescent="0.25">
      <c r="F632" s="134"/>
      <c r="G632" s="138"/>
      <c r="H632" s="138"/>
      <c r="I632" s="139"/>
      <c r="J632" s="140"/>
      <c r="K632" s="135"/>
      <c r="L632" s="138"/>
      <c r="M632" s="138"/>
      <c r="N632" s="147"/>
    </row>
    <row r="633" spans="6:26" ht="15" x14ac:dyDescent="0.25">
      <c r="F633" s="134"/>
      <c r="G633" s="134"/>
      <c r="H633" s="134"/>
      <c r="I633" s="134"/>
      <c r="J633" s="134"/>
      <c r="K633" s="135"/>
      <c r="L633" s="135"/>
      <c r="M633" s="135"/>
      <c r="N633" s="147"/>
    </row>
    <row r="634" spans="6:26" ht="15" x14ac:dyDescent="0.25">
      <c r="F634" s="134"/>
      <c r="G634" s="142"/>
      <c r="H634" s="134"/>
      <c r="I634" s="139"/>
      <c r="J634" s="140"/>
      <c r="K634" s="135"/>
      <c r="L634" s="135"/>
      <c r="M634" s="135"/>
      <c r="N634" s="147"/>
      <c r="Z634" s="1"/>
    </row>
    <row r="635" spans="6:26" ht="15" x14ac:dyDescent="0.25">
      <c r="F635" s="134"/>
      <c r="G635" s="134"/>
      <c r="H635" s="134"/>
      <c r="I635" s="134"/>
      <c r="J635" s="134"/>
      <c r="K635" s="135"/>
      <c r="L635" s="135"/>
      <c r="M635" s="135"/>
      <c r="N635" s="135"/>
    </row>
    <row r="636" spans="6:26" ht="15" x14ac:dyDescent="0.25">
      <c r="F636" s="134"/>
      <c r="G636" s="134"/>
      <c r="H636" s="134"/>
      <c r="I636" s="144"/>
      <c r="J636" s="148"/>
      <c r="K636" s="135"/>
      <c r="L636" s="135"/>
      <c r="M636" s="135"/>
      <c r="N636" s="146"/>
    </row>
    <row r="638" spans="6:26" x14ac:dyDescent="0.2">
      <c r="H638" s="149"/>
      <c r="M638" s="149"/>
    </row>
    <row r="639" spans="6:26" x14ac:dyDescent="0.2">
      <c r="I639" s="149"/>
    </row>
    <row r="641" spans="8:9" x14ac:dyDescent="0.2">
      <c r="H641" s="149"/>
      <c r="I641" s="149"/>
    </row>
    <row r="643" spans="8:9" ht="15" x14ac:dyDescent="0.25">
      <c r="I643" s="144"/>
    </row>
    <row r="661" spans="26:26" x14ac:dyDescent="0.2">
      <c r="Z661" s="1"/>
    </row>
    <row r="689" spans="26:26" x14ac:dyDescent="0.2">
      <c r="Z689" s="1"/>
    </row>
    <row r="717" spans="26:26" x14ac:dyDescent="0.2">
      <c r="Z717" s="1"/>
    </row>
    <row r="745" spans="26:26" x14ac:dyDescent="0.2">
      <c r="Z745" s="1"/>
    </row>
    <row r="773" spans="26:26" x14ac:dyDescent="0.2">
      <c r="Z773" s="1"/>
    </row>
    <row r="801" spans="26:26" x14ac:dyDescent="0.2">
      <c r="Z801" s="1"/>
    </row>
    <row r="829" spans="26:26" x14ac:dyDescent="0.2">
      <c r="Z829" s="1"/>
    </row>
    <row r="857" spans="26:26" x14ac:dyDescent="0.2">
      <c r="Z857" s="1"/>
    </row>
    <row r="885" spans="26:26" x14ac:dyDescent="0.2">
      <c r="Z885" s="1"/>
    </row>
  </sheetData>
  <scenarios current="0">
    <scenario name="sch2.2.1Ap1" locked="1" count="1" user="Newfoundland &amp; Labrador Hydro" comment="Created by Newfoundland &amp; Labrador Hydro on 07/18/2000">
      <inputCells r="AI4" val="Page 1 of 2"/>
    </scenario>
    <scenario name="sch2.2.1Ap2" locked="1" count="1" user="Newfoundland &amp; Labrador Hydro" comment="Created by Newfoundland &amp; Labrador Hydro on 07/18/2000">
      <inputCells r="AI4" val="Page 2 of 2"/>
    </scenario>
    <scenario name="sch2.3Ap1" locked="1" count="1" user="Newfoundland &amp; Labrador Hydro" comment="Created by Newfoundland &amp; Labrador Hydro on 07/18/2000_x000a_Modified by Newfoundland &amp; Labrador Hydro on 07/18/2000">
      <inputCells r="V62" val=" Page 1 of 2 "/>
    </scenario>
    <scenario name="sch2.3Ap2" locked="1" count="1" user="Newfoundland &amp; Labrador Hydro" comment="Created by Newfoundland &amp; Labrador Hydro on 07/18/2000">
      <inputCells r="V62" val=" Page 2 of 2 "/>
    </scenario>
    <scenario name="sch2.2Ap1" locked="1" count="1" user="Newfoundland &amp; Labrador Hydro" comment="Created by Newfoundland &amp; Labrador Hydro on 07/18/2000">
      <inputCells r="V4" val="Page 1 of 2"/>
    </scenario>
    <scenario name="sch2.2Ap2" locked="1" count="1" user="Newfoundland &amp; Labrador Hydro" comment="Created by Newfoundland &amp; Labrador Hydro on 07/18/2000">
      <inputCells r="V4" val="Page 2 of 2"/>
    </scenario>
  </scenarios>
  <mergeCells count="3">
    <mergeCell ref="AE206:AF206"/>
    <mergeCell ref="AE207:AF207"/>
    <mergeCell ref="G516:H516"/>
  </mergeCells>
  <pageMargins left="0.34" right="0.23" top="0.63" bottom="0.76" header="0.94" footer="0.52"/>
  <pageSetup scale="55" firstPageNumber="39" fitToWidth="0" fitToHeight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5DC9C-3F06-41C3-AF73-6F37D9CCC0CA}">
  <sheetPr codeName="Sheet17">
    <pageSetUpPr fitToPage="1"/>
  </sheetPr>
  <dimension ref="A1:AF327"/>
  <sheetViews>
    <sheetView topLeftCell="A286" zoomScaleNormal="100" workbookViewId="0">
      <selection activeCell="C307" sqref="C307"/>
    </sheetView>
  </sheetViews>
  <sheetFormatPr defaultColWidth="9.140625" defaultRowHeight="12.75" x14ac:dyDescent="0.2"/>
  <cols>
    <col min="1" max="1" width="5.28515625" style="1" customWidth="1"/>
    <col min="2" max="2" width="35.7109375" style="106" customWidth="1"/>
    <col min="3" max="3" width="18.140625" style="106" customWidth="1"/>
    <col min="4" max="4" width="19" style="106" customWidth="1"/>
    <col min="5" max="5" width="14.7109375" style="106" customWidth="1"/>
    <col min="6" max="6" width="13.85546875" style="106" customWidth="1"/>
    <col min="7" max="7" width="14.7109375" style="106" hidden="1" customWidth="1"/>
    <col min="8" max="8" width="22.28515625" style="106" bestFit="1" customWidth="1"/>
    <col min="9" max="9" width="14.7109375" style="106" bestFit="1" customWidth="1"/>
    <col min="10" max="10" width="22.140625" style="106" customWidth="1"/>
    <col min="11" max="11" width="13.28515625" style="106" bestFit="1" customWidth="1"/>
    <col min="12" max="12" width="5.28515625" style="106" customWidth="1"/>
    <col min="13" max="13" width="35.7109375" style="106" customWidth="1"/>
    <col min="14" max="14" width="22.28515625" style="106" bestFit="1" customWidth="1"/>
    <col min="15" max="15" width="18.28515625" style="106" bestFit="1" customWidth="1"/>
    <col min="16" max="16" width="12" style="106" bestFit="1" customWidth="1"/>
    <col min="17" max="17" width="16.28515625" style="106" customWidth="1"/>
    <col min="18" max="21" width="9.140625" style="106"/>
    <col min="22" max="22" width="3.85546875" style="106" customWidth="1"/>
    <col min="23" max="23" width="9.140625" style="106"/>
    <col min="24" max="24" width="33.42578125" style="106" customWidth="1"/>
    <col min="25" max="25" width="22.140625" style="106" bestFit="1" customWidth="1"/>
    <col min="26" max="27" width="13.7109375" style="106" customWidth="1"/>
    <col min="28" max="28" width="13.140625" style="106" bestFit="1" customWidth="1"/>
    <col min="29" max="29" width="12.28515625" style="106" bestFit="1" customWidth="1"/>
    <col min="30" max="30" width="12.85546875" style="106" bestFit="1" customWidth="1"/>
    <col min="31" max="16384" width="9.140625" style="106"/>
  </cols>
  <sheetData>
    <row r="1" spans="1:32" ht="15" x14ac:dyDescent="0.25">
      <c r="C1" s="150"/>
      <c r="I1" s="151"/>
    </row>
    <row r="2" spans="1:32" x14ac:dyDescent="0.2">
      <c r="I2" s="151" t="s">
        <v>495</v>
      </c>
      <c r="M2" s="1"/>
      <c r="U2" s="152" t="s">
        <v>496</v>
      </c>
      <c r="X2" s="1"/>
      <c r="AC2" s="152" t="s">
        <v>496</v>
      </c>
      <c r="AF2" s="152" t="s">
        <v>497</v>
      </c>
    </row>
    <row r="3" spans="1:32" x14ac:dyDescent="0.2">
      <c r="I3" s="151" t="s">
        <v>327</v>
      </c>
      <c r="M3" s="1"/>
      <c r="U3" s="152" t="s">
        <v>3</v>
      </c>
      <c r="X3" s="1"/>
      <c r="AC3" s="152" t="s">
        <v>4</v>
      </c>
      <c r="AF3" s="152" t="s">
        <v>110</v>
      </c>
    </row>
    <row r="4" spans="1:32" x14ac:dyDescent="0.2">
      <c r="I4" s="153"/>
      <c r="M4" s="1"/>
      <c r="U4" s="153"/>
      <c r="X4" s="1"/>
      <c r="AF4" s="153"/>
    </row>
    <row r="5" spans="1:32" x14ac:dyDescent="0.2">
      <c r="M5" s="1"/>
      <c r="X5" s="1"/>
    </row>
    <row r="6" spans="1:32" x14ac:dyDescent="0.2">
      <c r="A6" s="154" t="s">
        <v>5</v>
      </c>
      <c r="B6" s="154"/>
      <c r="C6" s="154"/>
      <c r="D6" s="154"/>
      <c r="E6" s="154"/>
      <c r="F6" s="154"/>
      <c r="G6" s="154"/>
      <c r="H6" s="154"/>
      <c r="I6" s="154"/>
      <c r="M6" s="154" t="s">
        <v>5</v>
      </c>
      <c r="N6" s="154"/>
      <c r="O6" s="154"/>
      <c r="P6" s="154"/>
      <c r="Q6" s="154"/>
      <c r="R6" s="154"/>
      <c r="S6" s="154"/>
      <c r="T6" s="154"/>
      <c r="U6" s="154"/>
      <c r="X6" s="154" t="s">
        <v>5</v>
      </c>
      <c r="Y6" s="154"/>
      <c r="Z6" s="154"/>
      <c r="AA6" s="154"/>
      <c r="AB6" s="154"/>
      <c r="AC6" s="154"/>
      <c r="AD6" s="154"/>
      <c r="AE6" s="154"/>
      <c r="AF6" s="154"/>
    </row>
    <row r="7" spans="1:32" x14ac:dyDescent="0.2">
      <c r="A7" s="155" t="str">
        <f>RunName</f>
        <v>2027 Test Year Cost of Service Study (No Rate Mitigation)</v>
      </c>
      <c r="B7" s="154"/>
      <c r="C7" s="154"/>
      <c r="D7" s="154"/>
      <c r="E7" s="154"/>
      <c r="F7" s="154"/>
      <c r="G7" s="154"/>
      <c r="H7" s="154"/>
      <c r="I7" s="154"/>
      <c r="M7" s="155" t="str">
        <f>RunName</f>
        <v>2027 Test Year Cost of Service Study (No Rate Mitigation)</v>
      </c>
      <c r="N7" s="154"/>
      <c r="O7" s="154"/>
      <c r="P7" s="154"/>
      <c r="Q7" s="154"/>
      <c r="R7" s="154"/>
      <c r="S7" s="154"/>
      <c r="T7" s="154"/>
      <c r="U7" s="154"/>
      <c r="X7" s="155" t="str">
        <f>RunName</f>
        <v>2027 Test Year Cost of Service Study (No Rate Mitigation)</v>
      </c>
      <c r="Y7" s="154"/>
      <c r="Z7" s="154"/>
      <c r="AA7" s="154"/>
      <c r="AB7" s="154"/>
      <c r="AC7" s="154"/>
      <c r="AD7" s="154"/>
      <c r="AE7" s="154"/>
      <c r="AF7" s="154"/>
    </row>
    <row r="8" spans="1:32" x14ac:dyDescent="0.2">
      <c r="A8" s="154" t="s">
        <v>328</v>
      </c>
      <c r="B8" s="154"/>
      <c r="C8" s="154"/>
      <c r="D8" s="154"/>
      <c r="E8" s="154"/>
      <c r="F8" s="154"/>
      <c r="G8" s="154"/>
      <c r="H8" s="154"/>
      <c r="I8" s="154"/>
      <c r="M8" s="154" t="s">
        <v>328</v>
      </c>
      <c r="N8" s="154"/>
      <c r="O8" s="154"/>
      <c r="P8" s="154"/>
      <c r="Q8" s="154"/>
      <c r="R8" s="154"/>
      <c r="S8" s="154"/>
      <c r="T8" s="154"/>
      <c r="U8" s="154"/>
      <c r="X8" s="154" t="s">
        <v>328</v>
      </c>
      <c r="Y8" s="154"/>
      <c r="Z8" s="154"/>
      <c r="AA8" s="154"/>
      <c r="AB8" s="154"/>
      <c r="AC8" s="154"/>
      <c r="AD8" s="154"/>
      <c r="AE8" s="154"/>
      <c r="AF8" s="154"/>
    </row>
    <row r="9" spans="1:32" x14ac:dyDescent="0.2">
      <c r="A9" s="154" t="s">
        <v>329</v>
      </c>
      <c r="B9" s="154"/>
      <c r="C9" s="154"/>
      <c r="D9" s="154"/>
      <c r="E9" s="154"/>
      <c r="F9" s="154"/>
      <c r="G9" s="154"/>
      <c r="H9" s="154"/>
      <c r="I9" s="154"/>
      <c r="M9" s="154" t="s">
        <v>330</v>
      </c>
      <c r="N9" s="154"/>
      <c r="O9" s="154"/>
      <c r="P9" s="154"/>
      <c r="Q9" s="154"/>
      <c r="R9" s="154"/>
      <c r="S9" s="154"/>
      <c r="T9" s="154"/>
      <c r="U9" s="154"/>
      <c r="X9" s="154" t="s">
        <v>331</v>
      </c>
      <c r="Y9" s="154"/>
      <c r="Z9" s="154"/>
      <c r="AA9" s="154"/>
      <c r="AB9" s="154"/>
      <c r="AC9" s="154"/>
      <c r="AD9" s="154"/>
      <c r="AE9" s="154"/>
      <c r="AF9" s="154"/>
    </row>
    <row r="10" spans="1:32" x14ac:dyDescent="0.2">
      <c r="M10" s="1"/>
      <c r="X10" s="1"/>
    </row>
    <row r="11" spans="1:32" s="1" customFormat="1" x14ac:dyDescent="0.2">
      <c r="B11" s="1">
        <f t="shared" ref="B11:I11" si="0">MAX(A11)+NoOne</f>
        <v>1</v>
      </c>
      <c r="C11" s="1">
        <f t="shared" si="0"/>
        <v>2</v>
      </c>
      <c r="D11" s="1">
        <f t="shared" si="0"/>
        <v>3</v>
      </c>
      <c r="E11" s="1">
        <f t="shared" si="0"/>
        <v>4</v>
      </c>
      <c r="F11" s="1">
        <f t="shared" si="0"/>
        <v>5</v>
      </c>
      <c r="G11" s="1">
        <f t="shared" si="0"/>
        <v>6</v>
      </c>
      <c r="H11" s="1">
        <f>MAX(F11)+NoOne</f>
        <v>6</v>
      </c>
      <c r="I11" s="1">
        <f t="shared" si="0"/>
        <v>7</v>
      </c>
      <c r="N11" s="1">
        <f t="shared" ref="N11" si="1">MAX(M11)+NoOne</f>
        <v>1</v>
      </c>
      <c r="O11" s="1">
        <f t="shared" ref="O11" si="2">MAX(N11)+NoOne</f>
        <v>2</v>
      </c>
      <c r="P11" s="1">
        <f t="shared" ref="P11" si="3">MAX(O11)+NoOne</f>
        <v>3</v>
      </c>
      <c r="Q11" s="1">
        <f t="shared" ref="Q11" si="4">MAX(P11)+NoOne</f>
        <v>4</v>
      </c>
      <c r="Y11" s="1">
        <f t="shared" ref="Y11" si="5">MAX(X11)+NoOne</f>
        <v>1</v>
      </c>
    </row>
    <row r="12" spans="1:32" s="1" customFormat="1" x14ac:dyDescent="0.2"/>
    <row r="13" spans="1:32" x14ac:dyDescent="0.2">
      <c r="B13" s="1"/>
      <c r="C13" s="1"/>
      <c r="D13" s="156" t="s">
        <v>332</v>
      </c>
      <c r="E13" s="1"/>
      <c r="F13" s="1"/>
      <c r="H13" s="156" t="s">
        <v>333</v>
      </c>
      <c r="I13" s="1" t="s">
        <v>277</v>
      </c>
      <c r="N13" s="156" t="s">
        <v>333</v>
      </c>
      <c r="O13" s="157" t="s">
        <v>181</v>
      </c>
      <c r="P13" s="157"/>
      <c r="Q13" s="5"/>
      <c r="Y13" s="158" t="s">
        <v>334</v>
      </c>
      <c r="Z13" s="157"/>
      <c r="AA13" s="157"/>
      <c r="AB13" s="5"/>
    </row>
    <row r="14" spans="1:32" x14ac:dyDescent="0.2">
      <c r="A14" s="1" t="s">
        <v>14</v>
      </c>
      <c r="B14" s="1"/>
      <c r="C14" s="1"/>
      <c r="D14" s="1" t="s">
        <v>335</v>
      </c>
      <c r="E14" s="1" t="s">
        <v>277</v>
      </c>
      <c r="F14" s="1"/>
      <c r="G14" s="156" t="s">
        <v>336</v>
      </c>
      <c r="H14" s="156" t="s">
        <v>337</v>
      </c>
      <c r="I14" s="1" t="s">
        <v>338</v>
      </c>
      <c r="L14" s="1" t="s">
        <v>14</v>
      </c>
      <c r="M14" s="1"/>
      <c r="N14" s="156" t="s">
        <v>337</v>
      </c>
      <c r="O14" s="157" t="s">
        <v>339</v>
      </c>
      <c r="P14" s="157"/>
      <c r="Q14" s="12" t="s">
        <v>340</v>
      </c>
      <c r="W14" s="1" t="s">
        <v>14</v>
      </c>
      <c r="X14" s="1"/>
      <c r="Y14" s="156" t="s">
        <v>341</v>
      </c>
      <c r="Z14" s="157"/>
      <c r="AA14" s="157"/>
      <c r="AB14" s="12"/>
    </row>
    <row r="15" spans="1:32" x14ac:dyDescent="0.2">
      <c r="A15" s="1" t="s">
        <v>30</v>
      </c>
      <c r="B15" s="1" t="s">
        <v>342</v>
      </c>
      <c r="C15" s="1" t="s">
        <v>343</v>
      </c>
      <c r="D15" s="1" t="s">
        <v>344</v>
      </c>
      <c r="E15" s="156" t="s">
        <v>345</v>
      </c>
      <c r="F15" s="1" t="s">
        <v>346</v>
      </c>
      <c r="G15" s="1" t="s">
        <v>347</v>
      </c>
      <c r="H15" s="1" t="s">
        <v>344</v>
      </c>
      <c r="I15" s="1" t="s">
        <v>348</v>
      </c>
      <c r="L15" s="1" t="s">
        <v>30</v>
      </c>
      <c r="M15" s="1" t="s">
        <v>342</v>
      </c>
      <c r="N15" s="1" t="s">
        <v>344</v>
      </c>
      <c r="O15" s="159" t="s">
        <v>349</v>
      </c>
      <c r="P15" s="159"/>
      <c r="Q15" s="1" t="s">
        <v>350</v>
      </c>
      <c r="W15" s="1" t="s">
        <v>30</v>
      </c>
      <c r="X15" s="1" t="s">
        <v>342</v>
      </c>
      <c r="Y15" s="1" t="s">
        <v>351</v>
      </c>
      <c r="Z15" s="1" t="s">
        <v>33</v>
      </c>
      <c r="AA15" s="160" t="s">
        <v>34</v>
      </c>
      <c r="AB15" s="1" t="s">
        <v>33</v>
      </c>
      <c r="AC15" s="160" t="s">
        <v>34</v>
      </c>
    </row>
    <row r="16" spans="1:32" x14ac:dyDescent="0.2">
      <c r="B16" s="1"/>
      <c r="C16" s="1"/>
      <c r="D16" s="1"/>
      <c r="E16" s="1"/>
      <c r="F16" s="1"/>
      <c r="H16" s="161" t="s">
        <v>352</v>
      </c>
      <c r="I16" s="1" t="s">
        <v>353</v>
      </c>
      <c r="L16" s="1"/>
      <c r="M16" s="1"/>
      <c r="N16" s="161"/>
      <c r="W16" s="1"/>
      <c r="X16" s="1"/>
      <c r="Y16" s="161"/>
    </row>
    <row r="17" spans="1:30" ht="11.25" customHeight="1" x14ac:dyDescent="0.2">
      <c r="B17" s="1"/>
      <c r="C17" s="1" t="s">
        <v>37</v>
      </c>
      <c r="D17" s="1" t="s">
        <v>37</v>
      </c>
      <c r="E17" s="1" t="s">
        <v>37</v>
      </c>
      <c r="F17" s="1" t="s">
        <v>37</v>
      </c>
      <c r="G17" s="1" t="s">
        <v>37</v>
      </c>
      <c r="H17" s="1" t="s">
        <v>37</v>
      </c>
      <c r="I17" s="1"/>
      <c r="L17" s="1"/>
      <c r="M17" s="1"/>
      <c r="N17" s="1" t="s">
        <v>37</v>
      </c>
      <c r="O17" s="1" t="s">
        <v>37</v>
      </c>
      <c r="P17" s="1" t="s">
        <v>37</v>
      </c>
      <c r="Q17" s="1" t="s">
        <v>37</v>
      </c>
      <c r="W17" s="1"/>
      <c r="X17" s="1"/>
      <c r="Y17" s="1" t="s">
        <v>37</v>
      </c>
      <c r="Z17" s="1" t="s">
        <v>37</v>
      </c>
      <c r="AA17" s="1" t="s">
        <v>37</v>
      </c>
      <c r="AB17" s="1" t="s">
        <v>354</v>
      </c>
      <c r="AC17" s="1" t="s">
        <v>354</v>
      </c>
    </row>
    <row r="18" spans="1:30" ht="4.5" customHeight="1" x14ac:dyDescent="0.2">
      <c r="L18" s="1"/>
      <c r="W18" s="1"/>
    </row>
    <row r="19" spans="1:30" ht="15" x14ac:dyDescent="0.25">
      <c r="H19" s="162"/>
      <c r="J19" s="163"/>
      <c r="L19" s="1"/>
      <c r="O19" s="12"/>
      <c r="P19" s="12"/>
      <c r="W19" s="1">
        <f>MAX(W7:W18)+NoOne</f>
        <v>1</v>
      </c>
      <c r="X19" s="106" t="s">
        <v>177</v>
      </c>
      <c r="Y19" s="164">
        <v>269134555.84989369</v>
      </c>
      <c r="Z19" s="164">
        <v>133794097.71196806</v>
      </c>
      <c r="AA19" s="164">
        <v>135340458.13792562</v>
      </c>
      <c r="AB19" s="165">
        <f>Z19/$Y19</f>
        <v>0.49712716113121491</v>
      </c>
      <c r="AC19" s="165">
        <f>AA19/$Y19</f>
        <v>0.50287283886878509</v>
      </c>
    </row>
    <row r="20" spans="1:30" ht="15" x14ac:dyDescent="0.25">
      <c r="B20" s="2" t="s">
        <v>328</v>
      </c>
      <c r="C20" s="163"/>
      <c r="D20" s="163"/>
      <c r="H20" s="166"/>
      <c r="I20" s="166"/>
      <c r="J20" s="1"/>
      <c r="L20" s="1"/>
      <c r="M20" s="2" t="s">
        <v>328</v>
      </c>
      <c r="W20" s="1">
        <f>MAX(W8:W19)+NoOne</f>
        <v>2</v>
      </c>
      <c r="X20" s="106" t="s">
        <v>178</v>
      </c>
      <c r="Y20" s="164">
        <v>-40178593</v>
      </c>
      <c r="Z20" s="164">
        <v>-19973869.876336504</v>
      </c>
      <c r="AA20" s="164">
        <v>-20204723.123663496</v>
      </c>
      <c r="AB20" s="165">
        <f t="shared" ref="AB20:AC22" si="6">Z20/$Y20</f>
        <v>0.49712716113121491</v>
      </c>
      <c r="AC20" s="165">
        <f t="shared" si="6"/>
        <v>0.50287283886878509</v>
      </c>
    </row>
    <row r="21" spans="1:30" ht="15" x14ac:dyDescent="0.25">
      <c r="A21" s="1">
        <f>MAX(A18:A20)+NoOne</f>
        <v>1</v>
      </c>
      <c r="B21" s="5" t="s">
        <v>224</v>
      </c>
      <c r="C21" s="167">
        <f>C66</f>
        <v>1104811717.28</v>
      </c>
      <c r="D21" s="167">
        <f>D66</f>
        <v>1009624140.6639924</v>
      </c>
      <c r="E21" s="167">
        <f t="shared" ref="D21:G22" si="7">E66</f>
        <v>0</v>
      </c>
      <c r="F21" s="167">
        <f t="shared" si="7"/>
        <v>95188620.584301099</v>
      </c>
      <c r="G21" s="164">
        <f t="shared" si="7"/>
        <v>0</v>
      </c>
      <c r="H21" s="167">
        <f>SUM(D21:G21)</f>
        <v>1104812761.2482934</v>
      </c>
      <c r="I21" s="167"/>
      <c r="J21" s="164"/>
      <c r="K21" s="163"/>
      <c r="L21" s="1">
        <f>MAX(L18:L20)+NoOne</f>
        <v>1</v>
      </c>
      <c r="M21" s="5" t="s">
        <v>224</v>
      </c>
      <c r="N21" s="168">
        <f>H21</f>
        <v>1104812761.2482934</v>
      </c>
      <c r="O21" s="168">
        <v>0</v>
      </c>
      <c r="P21" s="168"/>
      <c r="Q21" s="168">
        <f>SUM(N21:P21)</f>
        <v>1104812761.2482934</v>
      </c>
      <c r="R21" s="1"/>
      <c r="W21" s="1">
        <f>MAX(W9:W20)+NoOne</f>
        <v>3</v>
      </c>
      <c r="X21" s="106" t="s">
        <v>179</v>
      </c>
      <c r="Y21" s="164">
        <v>46146683.150106318</v>
      </c>
      <c r="Z21" s="164">
        <v>22940769.590034023</v>
      </c>
      <c r="AA21" s="164">
        <v>23205913.560072295</v>
      </c>
      <c r="AB21" s="165">
        <f t="shared" si="6"/>
        <v>0.49712716113121491</v>
      </c>
      <c r="AC21" s="165">
        <f t="shared" si="6"/>
        <v>0.50287283886878509</v>
      </c>
    </row>
    <row r="22" spans="1:30" ht="15" x14ac:dyDescent="0.25">
      <c r="A22" s="1">
        <f>MAX(A19:A21)+NoOne</f>
        <v>2</v>
      </c>
      <c r="B22" s="169" t="s">
        <v>355</v>
      </c>
      <c r="C22" s="167">
        <f>C67</f>
        <v>0</v>
      </c>
      <c r="D22" s="167">
        <f t="shared" si="7"/>
        <v>0</v>
      </c>
      <c r="E22" s="167">
        <f t="shared" si="7"/>
        <v>0</v>
      </c>
      <c r="F22" s="167">
        <f t="shared" si="7"/>
        <v>0</v>
      </c>
      <c r="G22" s="167">
        <f t="shared" si="7"/>
        <v>0</v>
      </c>
      <c r="H22" s="170">
        <f>SUM(D22:G22)</f>
        <v>0</v>
      </c>
      <c r="I22" s="149"/>
      <c r="L22" s="1">
        <f>MAX(L19:L21)+NoOne</f>
        <v>2</v>
      </c>
      <c r="M22" s="80" t="s">
        <v>356</v>
      </c>
      <c r="O22" s="168">
        <v>0</v>
      </c>
      <c r="Q22" s="168">
        <f>SUM(N22:P22)</f>
        <v>0</v>
      </c>
      <c r="W22" s="1">
        <f>MAX(W10:W21)+NoOne</f>
        <v>4</v>
      </c>
      <c r="X22" s="106" t="s">
        <v>180</v>
      </c>
      <c r="Y22" s="164">
        <v>465082406</v>
      </c>
      <c r="Z22" s="164">
        <v>231205096.18685511</v>
      </c>
      <c r="AA22" s="164">
        <v>233877309.81314489</v>
      </c>
      <c r="AB22" s="165">
        <f t="shared" si="6"/>
        <v>0.49712716113121491</v>
      </c>
      <c r="AC22" s="165">
        <f t="shared" si="6"/>
        <v>0.50287283886878509</v>
      </c>
    </row>
    <row r="23" spans="1:30" ht="18" customHeight="1" x14ac:dyDescent="0.2">
      <c r="A23" s="1">
        <f>MAX(A20:A22)+NoOne</f>
        <v>3</v>
      </c>
      <c r="B23" s="169" t="s">
        <v>357</v>
      </c>
      <c r="C23" s="171">
        <f t="shared" ref="C23:H23" si="8">SUM(C21:C22)</f>
        <v>1104811717.28</v>
      </c>
      <c r="D23" s="171">
        <f t="shared" si="8"/>
        <v>1009624140.6639924</v>
      </c>
      <c r="E23" s="171">
        <f t="shared" si="8"/>
        <v>0</v>
      </c>
      <c r="F23" s="171">
        <f t="shared" si="8"/>
        <v>95188620.584301099</v>
      </c>
      <c r="G23" s="171">
        <f t="shared" si="8"/>
        <v>0</v>
      </c>
      <c r="H23" s="171">
        <f t="shared" si="8"/>
        <v>1104812761.2482934</v>
      </c>
      <c r="I23" s="172">
        <f>IF(D23&lt;&gt;0,C23/D23,0)</f>
        <v>1.0942802106072922</v>
      </c>
      <c r="J23" s="165"/>
      <c r="K23" s="163"/>
      <c r="L23" s="1">
        <f>MAX(L20:L22)+NoOne</f>
        <v>3</v>
      </c>
      <c r="M23" s="169" t="s">
        <v>357</v>
      </c>
      <c r="N23" s="171">
        <f t="shared" ref="N23:Q23" si="9">SUM(N21:N22)</f>
        <v>1104812761.2482934</v>
      </c>
      <c r="O23" s="171">
        <f t="shared" si="9"/>
        <v>0</v>
      </c>
      <c r="P23" s="171">
        <f t="shared" si="9"/>
        <v>0</v>
      </c>
      <c r="Q23" s="171">
        <f t="shared" si="9"/>
        <v>1104812761.2482934</v>
      </c>
      <c r="W23" s="1">
        <f>MAX(W11:W22)+NoOne</f>
        <v>5</v>
      </c>
      <c r="X23" s="5" t="s">
        <v>358</v>
      </c>
      <c r="Y23" s="171">
        <f>SUM(Y19:Y22)</f>
        <v>740185052</v>
      </c>
      <c r="Z23" s="171">
        <f t="shared" ref="Z23:AA23" si="10">SUM(Z19:Z22)</f>
        <v>367966093.61252069</v>
      </c>
      <c r="AA23" s="171">
        <f t="shared" si="10"/>
        <v>372218958.38747931</v>
      </c>
    </row>
    <row r="24" spans="1:30" x14ac:dyDescent="0.2">
      <c r="B24" s="173"/>
      <c r="C24" s="167"/>
      <c r="D24" s="167"/>
      <c r="E24" s="167"/>
      <c r="F24" s="167"/>
      <c r="H24" s="170"/>
      <c r="I24" s="149"/>
      <c r="K24" s="163"/>
      <c r="L24" s="1"/>
      <c r="M24" s="173"/>
    </row>
    <row r="25" spans="1:30" x14ac:dyDescent="0.2">
      <c r="A25" s="1">
        <f>MAX(A22:A24)+NoOne</f>
        <v>4</v>
      </c>
      <c r="B25" s="106" t="s">
        <v>359</v>
      </c>
      <c r="C25" s="167">
        <f>C73</f>
        <v>77081467.060000017</v>
      </c>
      <c r="D25" s="167">
        <f>D73</f>
        <v>77084808.23695381</v>
      </c>
      <c r="E25" s="167">
        <f>E73</f>
        <v>0</v>
      </c>
      <c r="F25" s="167">
        <v>0</v>
      </c>
      <c r="H25" s="167">
        <f>H73</f>
        <v>77084808.23695381</v>
      </c>
      <c r="I25" s="149">
        <f>IF(D25&lt;&gt;0,C25/D25,0)</f>
        <v>0.99995665583102289</v>
      </c>
      <c r="J25" s="165"/>
      <c r="K25" s="163"/>
      <c r="L25" s="1">
        <f>MAX(L22:L24)+NoOne</f>
        <v>4</v>
      </c>
      <c r="M25" s="106" t="s">
        <v>359</v>
      </c>
      <c r="N25" s="163">
        <f>H25</f>
        <v>77084808.23695381</v>
      </c>
      <c r="O25" s="168">
        <v>0</v>
      </c>
      <c r="Q25" s="168">
        <f>SUM(N25:P25)</f>
        <v>77084808.23695381</v>
      </c>
      <c r="X25" s="106" t="s">
        <v>562</v>
      </c>
    </row>
    <row r="26" spans="1:30" x14ac:dyDescent="0.2">
      <c r="A26" s="1">
        <f>MAX(A23:A25)+NoOne</f>
        <v>5</v>
      </c>
      <c r="B26" s="5" t="s">
        <v>360</v>
      </c>
      <c r="C26" s="167">
        <f>+C75</f>
        <v>0</v>
      </c>
      <c r="D26" s="167">
        <f>+D75</f>
        <v>0</v>
      </c>
      <c r="E26" s="167">
        <f>+E75</f>
        <v>0</v>
      </c>
      <c r="F26" s="167">
        <f>+F75</f>
        <v>0</v>
      </c>
      <c r="H26" s="167">
        <f>+H75</f>
        <v>0</v>
      </c>
      <c r="I26" s="149">
        <f t="shared" ref="I26:I36" si="11">IF(D26&lt;&gt;0,C26/D26,0)</f>
        <v>0</v>
      </c>
      <c r="K26" s="163"/>
      <c r="L26" s="1"/>
      <c r="M26" s="5"/>
      <c r="N26" s="163"/>
    </row>
    <row r="27" spans="1:30" x14ac:dyDescent="0.2">
      <c r="A27" s="1">
        <f>MAX(A24:A26)+NoOne</f>
        <v>6</v>
      </c>
      <c r="B27" s="106" t="s">
        <v>361</v>
      </c>
      <c r="C27" s="167">
        <f>+C223</f>
        <v>9171997.7694181111</v>
      </c>
      <c r="D27" s="167">
        <f>+D223</f>
        <v>9172199.8960632775</v>
      </c>
      <c r="E27" s="167">
        <f>+E223</f>
        <v>0</v>
      </c>
      <c r="F27" s="167">
        <v>0</v>
      </c>
      <c r="H27" s="170">
        <f>SUM(D27:F27)</f>
        <v>9172199.8960632775</v>
      </c>
      <c r="I27" s="149">
        <f t="shared" si="11"/>
        <v>0.99997796312253806</v>
      </c>
      <c r="J27" s="165"/>
      <c r="K27" s="163"/>
      <c r="L27" s="1">
        <f>MAX(L24:L25)+NoOne</f>
        <v>5</v>
      </c>
      <c r="M27" s="106" t="s">
        <v>361</v>
      </c>
      <c r="N27" s="163">
        <f t="shared" ref="N27:N29" si="12">H27</f>
        <v>9172199.8960632775</v>
      </c>
      <c r="Q27" s="168">
        <f>SUM(N27:P27)</f>
        <v>9172199.8960632775</v>
      </c>
    </row>
    <row r="28" spans="1:30" x14ac:dyDescent="0.2">
      <c r="A28" s="1">
        <f>MAX(A25:A27)+NoOne</f>
        <v>7</v>
      </c>
      <c r="B28" s="106" t="s">
        <v>362</v>
      </c>
      <c r="C28" s="167">
        <f>+C225</f>
        <v>0</v>
      </c>
      <c r="D28" s="167">
        <f>+D225</f>
        <v>0</v>
      </c>
      <c r="E28" s="167">
        <f>+E225</f>
        <v>0</v>
      </c>
      <c r="F28" s="167">
        <v>0</v>
      </c>
      <c r="H28" s="170">
        <f>+C28</f>
        <v>0</v>
      </c>
      <c r="I28" s="149">
        <f t="shared" si="11"/>
        <v>0</v>
      </c>
      <c r="K28" s="163"/>
      <c r="L28" s="1">
        <f>MAX(L25:L27)+NoOne</f>
        <v>6</v>
      </c>
      <c r="M28" s="106" t="s">
        <v>362</v>
      </c>
      <c r="N28" s="163">
        <f t="shared" si="12"/>
        <v>0</v>
      </c>
      <c r="Q28" s="168">
        <f t="shared" ref="Q28:Q29" si="13">SUM(N28:P28)</f>
        <v>0</v>
      </c>
      <c r="AD28" s="1" t="s">
        <v>363</v>
      </c>
    </row>
    <row r="29" spans="1:30" x14ac:dyDescent="0.2">
      <c r="A29" s="1">
        <f>MAX(A26:A28)+NoOne</f>
        <v>8</v>
      </c>
      <c r="B29" s="106" t="s">
        <v>364</v>
      </c>
      <c r="C29" s="167">
        <f>C236</f>
        <v>21931248.037172787</v>
      </c>
      <c r="D29" s="167">
        <f>D236</f>
        <v>20039019.906508639</v>
      </c>
      <c r="E29" s="167">
        <f>E236</f>
        <v>0</v>
      </c>
      <c r="F29" s="167">
        <f>C324</f>
        <v>1889303.7378320058</v>
      </c>
      <c r="H29" s="170">
        <f>SUM(D29:F29)</f>
        <v>21928323.644340646</v>
      </c>
      <c r="I29" s="149">
        <f>IF(D29&lt;&gt;0,C29/D29,0)</f>
        <v>1.0944271795473168</v>
      </c>
      <c r="J29" s="165"/>
      <c r="K29" s="163"/>
      <c r="L29" s="1">
        <f>MAX(L26:L28)+NoOne</f>
        <v>7</v>
      </c>
      <c r="M29" s="106" t="s">
        <v>364</v>
      </c>
      <c r="N29" s="163">
        <f t="shared" si="12"/>
        <v>21928323.644340646</v>
      </c>
      <c r="Q29" s="168">
        <f t="shared" si="13"/>
        <v>21928323.644340646</v>
      </c>
      <c r="Y29" s="158" t="s">
        <v>334</v>
      </c>
      <c r="Z29" s="1" t="s">
        <v>16</v>
      </c>
      <c r="AA29" s="1" t="s">
        <v>16</v>
      </c>
      <c r="AB29" s="1" t="s">
        <v>16</v>
      </c>
      <c r="AC29" s="1" t="s">
        <v>16</v>
      </c>
      <c r="AD29" s="156" t="s">
        <v>365</v>
      </c>
    </row>
    <row r="30" spans="1:30" x14ac:dyDescent="0.2">
      <c r="C30" s="163"/>
      <c r="D30" s="163"/>
      <c r="E30" s="163"/>
      <c r="F30" s="163"/>
      <c r="H30" s="163"/>
      <c r="I30" s="149"/>
      <c r="K30" s="163"/>
      <c r="L30" s="1"/>
      <c r="Y30" s="156" t="s">
        <v>341</v>
      </c>
      <c r="Z30" s="1" t="s">
        <v>33</v>
      </c>
      <c r="AA30" s="1" t="s">
        <v>33</v>
      </c>
      <c r="AB30" s="1" t="s">
        <v>34</v>
      </c>
      <c r="AC30" s="1" t="s">
        <v>34</v>
      </c>
      <c r="AD30" s="156" t="s">
        <v>366</v>
      </c>
    </row>
    <row r="31" spans="1:30" ht="15" x14ac:dyDescent="0.25">
      <c r="B31" s="174" t="s">
        <v>367</v>
      </c>
      <c r="C31" s="175"/>
      <c r="D31" s="175"/>
      <c r="E31" s="175"/>
      <c r="F31" s="175"/>
      <c r="H31" s="170"/>
      <c r="I31" s="149"/>
      <c r="J31" s="176"/>
      <c r="K31" s="163"/>
      <c r="L31" s="1"/>
      <c r="M31" s="174" t="s">
        <v>367</v>
      </c>
      <c r="Y31" s="1" t="s">
        <v>351</v>
      </c>
      <c r="Z31" s="12" t="s">
        <v>215</v>
      </c>
      <c r="AB31" s="12" t="s">
        <v>216</v>
      </c>
      <c r="AD31" s="1" t="s">
        <v>351</v>
      </c>
    </row>
    <row r="32" spans="1:30" x14ac:dyDescent="0.2">
      <c r="A32" s="1">
        <f>MAX(A29:A31)+NoOne</f>
        <v>9</v>
      </c>
      <c r="B32" s="106" t="s">
        <v>0</v>
      </c>
      <c r="C32" s="167">
        <f>C87</f>
        <v>68909057.952898145</v>
      </c>
      <c r="D32" s="167">
        <f>D87</f>
        <v>119423025.34317885</v>
      </c>
      <c r="E32" s="167">
        <f>E87</f>
        <v>0</v>
      </c>
      <c r="F32" s="170">
        <f>C32-D32-E32</f>
        <v>-50513967.390280709</v>
      </c>
      <c r="H32" s="170">
        <f>SUM(D32:F32)</f>
        <v>68909057.952898145</v>
      </c>
      <c r="I32" s="149">
        <f t="shared" si="11"/>
        <v>0.57701651549086352</v>
      </c>
      <c r="J32" s="163"/>
      <c r="K32" s="163"/>
      <c r="L32" s="1">
        <f>MAX(L29:L31)+NoOne</f>
        <v>8</v>
      </c>
      <c r="M32" s="106" t="s">
        <v>0</v>
      </c>
      <c r="N32" s="163">
        <f t="shared" ref="N32:N36" si="14">H32</f>
        <v>68909057.952898145</v>
      </c>
      <c r="Q32" s="168">
        <f t="shared" ref="Q32:Q36" si="15">SUM(N32:P32)</f>
        <v>68909057.952898145</v>
      </c>
      <c r="W32" s="1"/>
      <c r="Y32" s="1" t="s">
        <v>37</v>
      </c>
      <c r="Z32" s="1" t="s">
        <v>354</v>
      </c>
      <c r="AA32" s="1" t="s">
        <v>37</v>
      </c>
      <c r="AB32" s="1" t="s">
        <v>354</v>
      </c>
      <c r="AC32" s="1" t="s">
        <v>37</v>
      </c>
      <c r="AD32" s="1" t="s">
        <v>354</v>
      </c>
    </row>
    <row r="33" spans="1:30" x14ac:dyDescent="0.2">
      <c r="A33" s="1">
        <f>MAX(A30:A32)+NoOne</f>
        <v>10</v>
      </c>
      <c r="B33" s="106" t="s">
        <v>368</v>
      </c>
      <c r="C33" s="167">
        <f>C128</f>
        <v>1717948.9398972169</v>
      </c>
      <c r="D33" s="167">
        <f>D128</f>
        <v>10404401.507694557</v>
      </c>
      <c r="E33" s="167">
        <f>E128</f>
        <v>0</v>
      </c>
      <c r="F33" s="170">
        <f>C33-D33-E33</f>
        <v>-8686452.5677973405</v>
      </c>
      <c r="H33" s="170">
        <f>SUM(D33:F33)</f>
        <v>1717948.9398972169</v>
      </c>
      <c r="I33" s="149">
        <f t="shared" si="11"/>
        <v>0.16511751671893002</v>
      </c>
      <c r="J33" s="163"/>
      <c r="K33" s="163"/>
      <c r="L33" s="1">
        <f>MAX(L30:L32)+NoOne</f>
        <v>9</v>
      </c>
      <c r="M33" s="106" t="s">
        <v>368</v>
      </c>
      <c r="N33" s="163">
        <f t="shared" si="14"/>
        <v>1717948.9398972169</v>
      </c>
      <c r="Q33" s="168">
        <f t="shared" si="15"/>
        <v>1717948.9398972169</v>
      </c>
      <c r="W33" s="1"/>
      <c r="X33" s="2" t="s">
        <v>328</v>
      </c>
    </row>
    <row r="34" spans="1:30" ht="16.5" x14ac:dyDescent="0.3">
      <c r="A34" s="1">
        <f>MAX(A31:A33)+NoOne</f>
        <v>11</v>
      </c>
      <c r="B34" s="106" t="s">
        <v>369</v>
      </c>
      <c r="C34" s="167">
        <f>C166</f>
        <v>11969343.183470888</v>
      </c>
      <c r="D34" s="167">
        <f>D166</f>
        <v>44165488.189015225</v>
      </c>
      <c r="E34" s="167">
        <f>E166</f>
        <v>0</v>
      </c>
      <c r="F34" s="170">
        <f>C34-D34-E34</f>
        <v>-32196145.005544335</v>
      </c>
      <c r="H34" s="170">
        <f>SUM(D34:F34)</f>
        <v>11969343.18347089</v>
      </c>
      <c r="I34" s="149">
        <f t="shared" si="11"/>
        <v>0.27101122786746157</v>
      </c>
      <c r="J34" s="163"/>
      <c r="K34" s="163"/>
      <c r="L34" s="1">
        <f>MAX(L31:L33)+NoOne</f>
        <v>10</v>
      </c>
      <c r="M34" s="106" t="s">
        <v>369</v>
      </c>
      <c r="N34" s="163">
        <f t="shared" si="14"/>
        <v>11969343.18347089</v>
      </c>
      <c r="Q34" s="168">
        <f t="shared" si="15"/>
        <v>11969343.18347089</v>
      </c>
      <c r="W34" s="1">
        <f>MAX(W32:W33)+NoOne</f>
        <v>1</v>
      </c>
      <c r="X34" s="5" t="s">
        <v>224</v>
      </c>
      <c r="Y34" s="164">
        <f>SUM(AA34,AC34)</f>
        <v>642307199.01942611</v>
      </c>
      <c r="Z34" s="177">
        <v>0.88738604118773867</v>
      </c>
      <c r="AA34" s="164">
        <f>AA$44*Z34</f>
        <v>326527975.10213161</v>
      </c>
      <c r="AB34" s="177">
        <v>0.8483695330439589</v>
      </c>
      <c r="AC34" s="164">
        <f>AC$44*AB34</f>
        <v>315779223.91729456</v>
      </c>
      <c r="AD34" s="177">
        <f>Y34/Y$44</f>
        <v>0.8677656989747291</v>
      </c>
    </row>
    <row r="35" spans="1:30" ht="16.5" x14ac:dyDescent="0.3">
      <c r="A35" s="1">
        <f>MAX(A32:A34)+NoOne</f>
        <v>12</v>
      </c>
      <c r="B35" s="106" t="s">
        <v>370</v>
      </c>
      <c r="C35" s="167">
        <f>C198</f>
        <v>4077136.5066004382</v>
      </c>
      <c r="D35" s="167">
        <f>D198</f>
        <v>9758495.865111161</v>
      </c>
      <c r="E35" s="167">
        <f>E198</f>
        <v>0</v>
      </c>
      <c r="F35" s="170">
        <f>C35-D35-E35</f>
        <v>-5681359.3585107233</v>
      </c>
      <c r="H35" s="178">
        <f>SUM(D35:F35)</f>
        <v>4077136.5066004377</v>
      </c>
      <c r="I35" s="149">
        <f t="shared" si="11"/>
        <v>0.41780378482068403</v>
      </c>
      <c r="J35" s="163"/>
      <c r="K35" s="163"/>
      <c r="L35" s="1">
        <f>MAX(L32:L34)+NoOne</f>
        <v>11</v>
      </c>
      <c r="M35" s="106" t="s">
        <v>370</v>
      </c>
      <c r="N35" s="163">
        <f t="shared" si="14"/>
        <v>4077136.5066004377</v>
      </c>
      <c r="Q35" s="168">
        <f t="shared" si="15"/>
        <v>4077136.5066004377</v>
      </c>
      <c r="W35" s="1">
        <f>MAX(W32:W34)+NoOne</f>
        <v>2</v>
      </c>
      <c r="X35" s="80" t="s">
        <v>356</v>
      </c>
      <c r="Y35" s="164">
        <f>SUM(AA35,AC35)</f>
        <v>47345155.223936856</v>
      </c>
      <c r="Z35" s="177">
        <v>6.2801465870849699E-2</v>
      </c>
      <c r="AA35" s="164">
        <f>AA$44*Z35</f>
        <v>23108810.069636602</v>
      </c>
      <c r="AB35" s="177">
        <v>6.5113140016555132E-2</v>
      </c>
      <c r="AC35" s="164">
        <f>AC$44*AB35</f>
        <v>24236345.15430025</v>
      </c>
      <c r="AD35" s="177">
        <f>Y35/Y$44</f>
        <v>6.3963944011040177E-2</v>
      </c>
    </row>
    <row r="36" spans="1:30" x14ac:dyDescent="0.2">
      <c r="A36" s="1">
        <f>MAX(A33:A35)+NoOne</f>
        <v>13</v>
      </c>
      <c r="B36" s="106" t="s">
        <v>371</v>
      </c>
      <c r="C36" s="167">
        <v>0</v>
      </c>
      <c r="D36" s="167">
        <v>0</v>
      </c>
      <c r="E36" s="167">
        <f>-E225</f>
        <v>0</v>
      </c>
      <c r="F36" s="170">
        <f>C36-D36-E36</f>
        <v>0</v>
      </c>
      <c r="H36" s="178">
        <f>SUM(D36:F36)</f>
        <v>0</v>
      </c>
      <c r="I36" s="149">
        <f t="shared" si="11"/>
        <v>0</v>
      </c>
      <c r="J36" s="163"/>
      <c r="K36" s="163"/>
      <c r="L36" s="1">
        <f>MAX(L33:L35)+NoOne</f>
        <v>12</v>
      </c>
      <c r="M36" s="106" t="s">
        <v>371</v>
      </c>
      <c r="N36" s="163">
        <f t="shared" si="14"/>
        <v>0</v>
      </c>
      <c r="Q36" s="168">
        <f t="shared" si="15"/>
        <v>0</v>
      </c>
      <c r="W36" s="1">
        <f>MAX(W33:W35)+NoOne</f>
        <v>3</v>
      </c>
      <c r="X36" s="169" t="s">
        <v>357</v>
      </c>
      <c r="Y36" s="171">
        <f t="shared" ref="Y36:AD36" si="16">SUM(Y34:Y35)</f>
        <v>689652354.2433629</v>
      </c>
      <c r="Z36" s="179">
        <f t="shared" si="16"/>
        <v>0.95018750705858834</v>
      </c>
      <c r="AA36" s="171">
        <f t="shared" si="16"/>
        <v>349636785.17176819</v>
      </c>
      <c r="AB36" s="179">
        <f t="shared" si="16"/>
        <v>0.91348267306051401</v>
      </c>
      <c r="AC36" s="171">
        <f t="shared" si="16"/>
        <v>340015569.07159483</v>
      </c>
      <c r="AD36" s="179">
        <f t="shared" si="16"/>
        <v>0.93172964298576932</v>
      </c>
    </row>
    <row r="37" spans="1:30" x14ac:dyDescent="0.2">
      <c r="C37" s="167"/>
      <c r="D37" s="167"/>
      <c r="E37" s="167"/>
      <c r="F37" s="178"/>
      <c r="H37" s="178"/>
      <c r="I37" s="180"/>
      <c r="J37" s="166"/>
      <c r="K37" s="163"/>
      <c r="L37" s="1"/>
      <c r="W37" s="1"/>
      <c r="X37" s="173"/>
      <c r="Z37" s="1"/>
      <c r="AB37" s="1"/>
    </row>
    <row r="38" spans="1:30" ht="16.5" x14ac:dyDescent="0.3">
      <c r="A38" s="1">
        <f>MAX(A35:A37)+NoOne</f>
        <v>14</v>
      </c>
      <c r="B38" s="2" t="s">
        <v>270</v>
      </c>
      <c r="C38" s="181">
        <f t="shared" ref="C38:H38" si="17">SUM(C32:C36)</f>
        <v>86673486.582866684</v>
      </c>
      <c r="D38" s="181">
        <f t="shared" si="17"/>
        <v>183751410.90499979</v>
      </c>
      <c r="E38" s="181">
        <f t="shared" si="17"/>
        <v>0</v>
      </c>
      <c r="F38" s="181">
        <f t="shared" si="17"/>
        <v>-97077924.322133109</v>
      </c>
      <c r="G38" s="181">
        <f t="shared" si="17"/>
        <v>0</v>
      </c>
      <c r="H38" s="181">
        <f t="shared" si="17"/>
        <v>86673486.582866684</v>
      </c>
      <c r="I38" s="182">
        <f>IF(D38&lt;&gt;0,C38/D38,0)</f>
        <v>0.47168882217550545</v>
      </c>
      <c r="J38" s="165"/>
      <c r="K38" s="163"/>
      <c r="L38" s="1">
        <f>MAX(L35:L37)+NoOne</f>
        <v>13</v>
      </c>
      <c r="M38" s="2" t="s">
        <v>270</v>
      </c>
      <c r="N38" s="181">
        <f t="shared" ref="N38:Q38" si="18">SUM(N32:N36)</f>
        <v>86673486.582866684</v>
      </c>
      <c r="O38" s="181">
        <f t="shared" si="18"/>
        <v>0</v>
      </c>
      <c r="P38" s="181">
        <f t="shared" si="18"/>
        <v>0</v>
      </c>
      <c r="Q38" s="181">
        <f t="shared" si="18"/>
        <v>86673486.582866684</v>
      </c>
      <c r="W38" s="1">
        <f>MAX(W35:W37)+NoOne</f>
        <v>4</v>
      </c>
      <c r="X38" s="106" t="s">
        <v>359</v>
      </c>
      <c r="Y38" s="164">
        <f>SUM(AA38,AC38)</f>
        <v>50532697.756636947</v>
      </c>
      <c r="Z38" s="177">
        <v>4.9812492941411594E-2</v>
      </c>
      <c r="AA38" s="164">
        <f>AA$44*Z38</f>
        <v>18329308.440752484</v>
      </c>
      <c r="AB38" s="177">
        <v>8.6517326939485953E-2</v>
      </c>
      <c r="AC38" s="164">
        <f>AC$44*AB38</f>
        <v>32203389.315884463</v>
      </c>
      <c r="AD38" s="177">
        <f>Y38/Y$44</f>
        <v>6.8270357014230759E-2</v>
      </c>
    </row>
    <row r="39" spans="1:30" x14ac:dyDescent="0.2">
      <c r="C39" s="170"/>
      <c r="D39" s="170"/>
      <c r="E39" s="170"/>
      <c r="F39" s="170"/>
      <c r="H39" s="170"/>
      <c r="I39" s="183"/>
      <c r="K39" s="163"/>
      <c r="L39" s="1"/>
      <c r="W39" s="1"/>
      <c r="X39" s="5"/>
      <c r="AD39" s="163"/>
    </row>
    <row r="40" spans="1:30" ht="13.5" thickBot="1" x14ac:dyDescent="0.25">
      <c r="A40" s="1">
        <f>MAX(A37:A39)+NoOne</f>
        <v>15</v>
      </c>
      <c r="B40" s="2" t="s">
        <v>15</v>
      </c>
      <c r="C40" s="184">
        <f t="shared" ref="C40:H40" si="19">SUM(C23:C29,C38)</f>
        <v>1299669916.7294574</v>
      </c>
      <c r="D40" s="184">
        <f t="shared" si="19"/>
        <v>1299671579.6085179</v>
      </c>
      <c r="E40" s="184">
        <f t="shared" si="19"/>
        <v>0</v>
      </c>
      <c r="F40" s="184">
        <f t="shared" si="19"/>
        <v>0</v>
      </c>
      <c r="G40" s="184">
        <f t="shared" si="19"/>
        <v>0</v>
      </c>
      <c r="H40" s="184">
        <f t="shared" si="19"/>
        <v>1299671579.6085179</v>
      </c>
      <c r="I40" s="185">
        <f>IF(D40&lt;&gt;0,C40/D40,0)</f>
        <v>0.99999872053902961</v>
      </c>
      <c r="J40" s="165"/>
      <c r="K40" s="163"/>
      <c r="L40" s="1">
        <f>MAX(L37:L39)+NoOne</f>
        <v>14</v>
      </c>
      <c r="M40" s="2" t="s">
        <v>15</v>
      </c>
      <c r="N40" s="184">
        <f t="shared" ref="N40:Q40" si="20">SUM(N23:N29,N38)</f>
        <v>1299671579.6085179</v>
      </c>
      <c r="O40" s="184">
        <f t="shared" si="20"/>
        <v>0</v>
      </c>
      <c r="P40" s="184">
        <f t="shared" si="20"/>
        <v>0</v>
      </c>
      <c r="Q40" s="184">
        <f t="shared" si="20"/>
        <v>1299671579.6085179</v>
      </c>
      <c r="W40" s="1">
        <f>MAX(W37:W38)+NoOne</f>
        <v>5</v>
      </c>
      <c r="X40" s="106" t="s">
        <v>361</v>
      </c>
      <c r="AD40" s="163"/>
    </row>
    <row r="41" spans="1:30" ht="13.5" thickTop="1" x14ac:dyDescent="0.2">
      <c r="C41" s="186"/>
      <c r="D41" s="163"/>
      <c r="H41" s="163"/>
      <c r="I41" s="166"/>
      <c r="L41" s="1"/>
      <c r="W41" s="1">
        <f>MAX(W38:W40)+NoOne</f>
        <v>6</v>
      </c>
      <c r="X41" s="106" t="s">
        <v>362</v>
      </c>
      <c r="AD41" s="163"/>
    </row>
    <row r="42" spans="1:30" ht="14.25" x14ac:dyDescent="0.2">
      <c r="A42" s="187"/>
      <c r="B42" s="183"/>
      <c r="C42" s="186"/>
      <c r="D42" s="186"/>
      <c r="H42" s="163"/>
      <c r="I42" s="166"/>
      <c r="L42" s="187">
        <v>1</v>
      </c>
      <c r="M42" s="5" t="str">
        <f>"The $"&amp;TEXT(ABS(O22),"0,000")&amp;" represents the Island Interconnected Rural rate mitigation allocation."</f>
        <v>The $0,000 represents the Island Interconnected Rural rate mitigation allocation.</v>
      </c>
      <c r="W42" s="1">
        <f>MAX(W39:W41)+NoOne</f>
        <v>7</v>
      </c>
      <c r="X42" s="106" t="s">
        <v>364</v>
      </c>
      <c r="AD42" s="163"/>
    </row>
    <row r="43" spans="1:30" x14ac:dyDescent="0.2">
      <c r="B43" s="169"/>
      <c r="C43" s="188"/>
      <c r="D43" s="188"/>
      <c r="E43" s="189"/>
      <c r="H43" s="163"/>
      <c r="W43" s="1"/>
    </row>
    <row r="44" spans="1:30" ht="13.5" thickBot="1" x14ac:dyDescent="0.25">
      <c r="C44" s="163"/>
      <c r="D44" s="163"/>
      <c r="E44" s="188"/>
      <c r="H44" s="163"/>
      <c r="W44" s="1">
        <f>MAX(W41:W43)+NoOne</f>
        <v>8</v>
      </c>
      <c r="X44" s="2" t="s">
        <v>15</v>
      </c>
      <c r="Y44" s="184">
        <f>SUM(Y36:Y38)</f>
        <v>740185051.99999988</v>
      </c>
      <c r="Z44" s="190">
        <f>SUM(Z36:Z42)</f>
        <v>0.99999999999999989</v>
      </c>
      <c r="AA44" s="184">
        <f>Z23</f>
        <v>367966093.61252069</v>
      </c>
      <c r="AB44" s="190">
        <f>SUM(AB36:AB42)</f>
        <v>1</v>
      </c>
      <c r="AC44" s="184">
        <f>AA23</f>
        <v>372218958.38747931</v>
      </c>
      <c r="AD44" s="190">
        <f>SUM(AD36:AD42)</f>
        <v>1</v>
      </c>
    </row>
    <row r="45" spans="1:30" ht="13.5" thickTop="1" x14ac:dyDescent="0.2">
      <c r="B45" s="191"/>
      <c r="C45" s="163"/>
      <c r="W45" s="1"/>
      <c r="AD45" s="163"/>
    </row>
    <row r="46" spans="1:30" x14ac:dyDescent="0.2">
      <c r="B46" s="191"/>
      <c r="D46" s="166"/>
      <c r="F46" s="166"/>
      <c r="H46" s="166"/>
      <c r="K46" s="166"/>
      <c r="W46" s="1"/>
    </row>
    <row r="47" spans="1:30" x14ac:dyDescent="0.2">
      <c r="D47" s="166"/>
      <c r="F47" s="166"/>
      <c r="K47" s="166"/>
      <c r="W47" s="1"/>
      <c r="X47" s="2"/>
    </row>
    <row r="48" spans="1:30" ht="20.25" customHeight="1" x14ac:dyDescent="0.2">
      <c r="D48" s="166"/>
      <c r="I48" s="151" t="s">
        <v>495</v>
      </c>
      <c r="W48" s="1"/>
    </row>
    <row r="49" spans="1:24" x14ac:dyDescent="0.2">
      <c r="I49" s="151" t="s">
        <v>372</v>
      </c>
    </row>
    <row r="50" spans="1:24" x14ac:dyDescent="0.2">
      <c r="I50" s="153"/>
      <c r="R50" s="1"/>
      <c r="W50" s="1"/>
    </row>
    <row r="51" spans="1:24" ht="14.25" x14ac:dyDescent="0.2">
      <c r="W51" s="187"/>
      <c r="X51" s="5"/>
    </row>
    <row r="52" spans="1:24" x14ac:dyDescent="0.2">
      <c r="A52" s="154" t="str">
        <f>+A6</f>
        <v>NEWFOUNDLAND AND LABRADOR HYDRO</v>
      </c>
      <c r="B52" s="154"/>
      <c r="C52" s="154"/>
      <c r="D52" s="154"/>
      <c r="E52" s="154"/>
      <c r="F52" s="154"/>
      <c r="G52" s="154"/>
      <c r="H52" s="154"/>
      <c r="I52" s="154"/>
    </row>
    <row r="53" spans="1:24" x14ac:dyDescent="0.2">
      <c r="A53" s="154" t="str">
        <f>RunName</f>
        <v>2027 Test Year Cost of Service Study (No Rate Mitigation)</v>
      </c>
      <c r="B53" s="154"/>
      <c r="C53" s="154"/>
      <c r="D53" s="154"/>
      <c r="E53" s="154"/>
      <c r="F53" s="154"/>
      <c r="G53" s="154"/>
      <c r="H53" s="154"/>
      <c r="I53" s="154"/>
    </row>
    <row r="54" spans="1:24" x14ac:dyDescent="0.2">
      <c r="A54" s="154" t="s">
        <v>0</v>
      </c>
      <c r="B54" s="154"/>
      <c r="C54" s="154"/>
      <c r="D54" s="154"/>
      <c r="E54" s="154"/>
      <c r="F54" s="154"/>
      <c r="G54" s="154"/>
      <c r="H54" s="154"/>
      <c r="I54" s="154"/>
    </row>
    <row r="55" spans="1:24" x14ac:dyDescent="0.2">
      <c r="A55" s="154" t="s">
        <v>329</v>
      </c>
      <c r="B55" s="154"/>
      <c r="C55" s="154"/>
      <c r="D55" s="154"/>
      <c r="E55" s="154"/>
      <c r="F55" s="154"/>
      <c r="G55" s="154"/>
      <c r="H55" s="154"/>
      <c r="I55" s="154"/>
    </row>
    <row r="56" spans="1:24" x14ac:dyDescent="0.2">
      <c r="B56" s="192"/>
      <c r="C56" s="192"/>
      <c r="D56" s="192"/>
      <c r="E56" s="192"/>
      <c r="F56" s="192"/>
      <c r="H56" s="192"/>
      <c r="I56" s="192"/>
    </row>
    <row r="57" spans="1:24" x14ac:dyDescent="0.2">
      <c r="B57" s="1">
        <f t="shared" ref="B57:I57" si="21">MAX(A57)+NoOne</f>
        <v>1</v>
      </c>
      <c r="C57" s="1">
        <f t="shared" si="21"/>
        <v>2</v>
      </c>
      <c r="D57" s="1">
        <f t="shared" si="21"/>
        <v>3</v>
      </c>
      <c r="E57" s="1">
        <f t="shared" si="21"/>
        <v>4</v>
      </c>
      <c r="F57" s="1">
        <f t="shared" si="21"/>
        <v>5</v>
      </c>
      <c r="G57" s="1">
        <f t="shared" si="21"/>
        <v>6</v>
      </c>
      <c r="H57" s="1">
        <f>MAX(F57)+NoOne</f>
        <v>6</v>
      </c>
      <c r="I57" s="1">
        <f t="shared" si="21"/>
        <v>7</v>
      </c>
    </row>
    <row r="58" spans="1:24" x14ac:dyDescent="0.2">
      <c r="E58" s="1"/>
      <c r="G58" s="1"/>
      <c r="H58" s="1"/>
      <c r="I58" s="1"/>
    </row>
    <row r="59" spans="1:24" s="1" customFormat="1" x14ac:dyDescent="0.2">
      <c r="D59" s="156" t="s">
        <v>332</v>
      </c>
      <c r="G59" s="106"/>
      <c r="H59" s="156" t="s">
        <v>333</v>
      </c>
      <c r="I59" s="1" t="s">
        <v>277</v>
      </c>
    </row>
    <row r="60" spans="1:24" s="1" customFormat="1" x14ac:dyDescent="0.2">
      <c r="A60" s="1" t="s">
        <v>14</v>
      </c>
      <c r="D60" s="1" t="s">
        <v>335</v>
      </c>
      <c r="E60" s="1" t="s">
        <v>277</v>
      </c>
      <c r="F60" s="1" t="s">
        <v>346</v>
      </c>
      <c r="G60" s="156" t="s">
        <v>336</v>
      </c>
      <c r="H60" s="156" t="s">
        <v>337</v>
      </c>
      <c r="I60" s="1" t="s">
        <v>338</v>
      </c>
    </row>
    <row r="61" spans="1:24" x14ac:dyDescent="0.2">
      <c r="A61" s="1" t="s">
        <v>30</v>
      </c>
      <c r="B61" s="1" t="s">
        <v>342</v>
      </c>
      <c r="C61" s="1" t="s">
        <v>343</v>
      </c>
      <c r="D61" s="1" t="s">
        <v>344</v>
      </c>
      <c r="E61" s="1" t="s">
        <v>373</v>
      </c>
      <c r="F61" s="1" t="s">
        <v>374</v>
      </c>
      <c r="G61" s="1" t="s">
        <v>347</v>
      </c>
      <c r="H61" s="1" t="s">
        <v>344</v>
      </c>
      <c r="I61" s="1" t="s">
        <v>348</v>
      </c>
    </row>
    <row r="62" spans="1:24" x14ac:dyDescent="0.2">
      <c r="B62" s="1"/>
      <c r="C62" s="1"/>
      <c r="D62" s="1"/>
      <c r="E62" s="1"/>
      <c r="F62" s="1"/>
      <c r="H62" s="161" t="s">
        <v>352</v>
      </c>
      <c r="I62" s="1" t="s">
        <v>353</v>
      </c>
    </row>
    <row r="63" spans="1:24" x14ac:dyDescent="0.2">
      <c r="B63" s="1"/>
      <c r="C63" s="1" t="s">
        <v>37</v>
      </c>
      <c r="D63" s="1" t="s">
        <v>37</v>
      </c>
      <c r="E63" s="1" t="s">
        <v>37</v>
      </c>
      <c r="F63" s="1" t="s">
        <v>37</v>
      </c>
      <c r="G63" s="1" t="s">
        <v>37</v>
      </c>
      <c r="H63" s="1" t="s">
        <v>37</v>
      </c>
      <c r="I63" s="1"/>
    </row>
    <row r="64" spans="1:24" x14ac:dyDescent="0.2">
      <c r="H64" s="163"/>
    </row>
    <row r="65" spans="1:18" x14ac:dyDescent="0.2">
      <c r="B65" s="2" t="s">
        <v>0</v>
      </c>
      <c r="H65" s="163"/>
    </row>
    <row r="66" spans="1:18" x14ac:dyDescent="0.2">
      <c r="A66" s="1">
        <f>MAX(A63:A65)+NoOne</f>
        <v>1</v>
      </c>
      <c r="B66" s="173" t="s">
        <v>224</v>
      </c>
      <c r="C66" s="163">
        <v>1104811717.28</v>
      </c>
      <c r="D66" s="163">
        <v>1009624140.6639924</v>
      </c>
      <c r="E66" s="163">
        <f>(D66/($D$66+$D$70+$D$87))*-$E$95</f>
        <v>0</v>
      </c>
      <c r="F66" s="163">
        <f>+C320-D273</f>
        <v>95188620.584301099</v>
      </c>
      <c r="G66" s="163">
        <f>-G67</f>
        <v>0</v>
      </c>
      <c r="H66" s="163">
        <f>SUM(D66:G66)</f>
        <v>1104812761.2482934</v>
      </c>
      <c r="I66" s="193"/>
      <c r="J66" s="165"/>
    </row>
    <row r="67" spans="1:18" ht="15" x14ac:dyDescent="0.25">
      <c r="A67" s="1">
        <f>MAX(A64:A66)+NoOne</f>
        <v>2</v>
      </c>
      <c r="B67" s="106" t="s">
        <v>375</v>
      </c>
      <c r="C67" s="194">
        <v>0</v>
      </c>
      <c r="D67" s="195"/>
      <c r="E67" s="195"/>
      <c r="F67" s="195"/>
      <c r="G67" s="163"/>
      <c r="H67" s="195">
        <f>SUM(D67:G67)</f>
        <v>0</v>
      </c>
      <c r="I67" s="196"/>
    </row>
    <row r="68" spans="1:18" ht="20.25" customHeight="1" x14ac:dyDescent="0.2">
      <c r="A68" s="1">
        <f>MAX(A65:A67)+NoOne</f>
        <v>3</v>
      </c>
      <c r="B68" s="174" t="s">
        <v>357</v>
      </c>
      <c r="C68" s="171">
        <f t="shared" ref="C68:H68" si="22">SUM(C66:C67)</f>
        <v>1104811717.28</v>
      </c>
      <c r="D68" s="171">
        <f t="shared" si="22"/>
        <v>1009624140.6639924</v>
      </c>
      <c r="E68" s="171">
        <f t="shared" si="22"/>
        <v>0</v>
      </c>
      <c r="F68" s="171">
        <f t="shared" si="22"/>
        <v>95188620.584301099</v>
      </c>
      <c r="G68" s="171">
        <f t="shared" si="22"/>
        <v>0</v>
      </c>
      <c r="H68" s="171">
        <f t="shared" si="22"/>
        <v>1104812761.2482934</v>
      </c>
      <c r="I68" s="172">
        <f>IF(D68&lt;&gt;0,C68/D68,0)</f>
        <v>1.0942802106072922</v>
      </c>
    </row>
    <row r="69" spans="1:18" ht="20.25" customHeight="1" x14ac:dyDescent="0.2">
      <c r="B69" s="2"/>
      <c r="C69" s="197"/>
      <c r="D69" s="197"/>
      <c r="E69" s="197"/>
      <c r="F69" s="197"/>
      <c r="H69" s="197"/>
      <c r="I69" s="198"/>
    </row>
    <row r="70" spans="1:18" x14ac:dyDescent="0.2">
      <c r="A70" s="1">
        <f>MAX(A67:A69)+NoOne</f>
        <v>4</v>
      </c>
      <c r="B70" s="106" t="s">
        <v>227</v>
      </c>
      <c r="C70" s="163">
        <v>77081467.060000017</v>
      </c>
      <c r="D70" s="163">
        <v>77084808.23695381</v>
      </c>
      <c r="E70" s="163">
        <f>(D70/($D$66+$D$70+$D$87))*-$E$95</f>
        <v>0</v>
      </c>
      <c r="F70" s="163"/>
      <c r="H70" s="163">
        <f>SUM(D70:F70)</f>
        <v>77084808.23695381</v>
      </c>
      <c r="I70" s="193"/>
      <c r="J70" s="165"/>
    </row>
    <row r="71" spans="1:18" x14ac:dyDescent="0.2">
      <c r="A71" s="1">
        <f>MAX(A68:A70)+NoOne</f>
        <v>5</v>
      </c>
      <c r="B71" s="106" t="s">
        <v>229</v>
      </c>
      <c r="C71" s="163">
        <v>0</v>
      </c>
      <c r="D71" s="163">
        <v>0</v>
      </c>
      <c r="E71" s="163">
        <f>+E95</f>
        <v>0</v>
      </c>
      <c r="F71" s="163"/>
      <c r="H71" s="163">
        <f>+C71</f>
        <v>0</v>
      </c>
      <c r="I71" s="193"/>
    </row>
    <row r="72" spans="1:18" ht="15" x14ac:dyDescent="0.25">
      <c r="A72" s="1">
        <f>MAX(A69:A71)+NoOne</f>
        <v>6</v>
      </c>
      <c r="B72" s="106" t="s">
        <v>376</v>
      </c>
      <c r="C72" s="194">
        <v>0</v>
      </c>
      <c r="D72" s="163"/>
      <c r="E72" s="163"/>
      <c r="F72" s="163"/>
      <c r="H72" s="163">
        <f>SUM(D72:F72)</f>
        <v>0</v>
      </c>
      <c r="I72" s="193"/>
    </row>
    <row r="73" spans="1:18" x14ac:dyDescent="0.2">
      <c r="A73" s="1">
        <f>MAX(A70:A72)+NoOne</f>
        <v>7</v>
      </c>
      <c r="B73" s="174" t="s">
        <v>300</v>
      </c>
      <c r="C73" s="171">
        <f>SUM(C70:C72)</f>
        <v>77081467.060000017</v>
      </c>
      <c r="D73" s="171">
        <f>SUM(D70:D72)</f>
        <v>77084808.23695381</v>
      </c>
      <c r="E73" s="171">
        <f>SUM(E70:E72)</f>
        <v>0</v>
      </c>
      <c r="F73" s="171">
        <f>SUM(F70:F72)</f>
        <v>0</v>
      </c>
      <c r="G73" s="171"/>
      <c r="H73" s="171">
        <f>SUM(H70:H72)</f>
        <v>77084808.23695381</v>
      </c>
      <c r="I73" s="172">
        <f>IF(D73&lt;&gt;0,C73/D73,0)</f>
        <v>0.99995665583102289</v>
      </c>
    </row>
    <row r="74" spans="1:18" x14ac:dyDescent="0.2">
      <c r="B74" s="2"/>
      <c r="C74" s="197"/>
      <c r="D74" s="197"/>
      <c r="E74" s="197"/>
      <c r="F74" s="197"/>
      <c r="G74" s="197"/>
      <c r="H74" s="197"/>
      <c r="I74" s="198"/>
    </row>
    <row r="75" spans="1:18" ht="15" x14ac:dyDescent="0.25">
      <c r="A75" s="1">
        <f>MAX(A72:A74)+NoOne</f>
        <v>8</v>
      </c>
      <c r="B75" s="2" t="s">
        <v>360</v>
      </c>
      <c r="C75" s="199">
        <v>0</v>
      </c>
      <c r="D75" s="200"/>
      <c r="E75" s="200"/>
      <c r="F75" s="200"/>
      <c r="G75" s="200"/>
      <c r="H75" s="200"/>
      <c r="I75" s="201"/>
    </row>
    <row r="76" spans="1:18" x14ac:dyDescent="0.2">
      <c r="B76" s="2"/>
      <c r="C76" s="197"/>
      <c r="D76" s="197"/>
      <c r="E76" s="197"/>
      <c r="F76" s="197"/>
      <c r="H76" s="197"/>
      <c r="I76" s="198"/>
    </row>
    <row r="77" spans="1:18" x14ac:dyDescent="0.2">
      <c r="B77" s="2" t="s">
        <v>230</v>
      </c>
      <c r="C77" s="163"/>
      <c r="D77" s="163"/>
      <c r="E77" s="163"/>
      <c r="F77" s="163"/>
      <c r="H77" s="163"/>
    </row>
    <row r="78" spans="1:18" ht="15" x14ac:dyDescent="0.25">
      <c r="A78" s="1">
        <f t="shared" ref="A78" si="23">MAX(A75:A77)+NoOne</f>
        <v>9</v>
      </c>
      <c r="B78" s="106" t="s">
        <v>232</v>
      </c>
      <c r="C78" s="202">
        <v>18788947.558794092</v>
      </c>
      <c r="D78" s="164">
        <v>37388533.799196705</v>
      </c>
      <c r="E78" s="164">
        <f t="shared" ref="E78:E85" si="24">(D78/($D$66+$D$70+$D$87))*-$E$95</f>
        <v>0</v>
      </c>
      <c r="F78" s="164">
        <f>C78-D78-E78</f>
        <v>-18599586.240402613</v>
      </c>
      <c r="G78" s="164"/>
      <c r="H78" s="164">
        <f t="shared" ref="H78:H85" si="25">SUM(D78:F78)</f>
        <v>18788947.558794092</v>
      </c>
      <c r="I78" s="203">
        <f>IF(D78&lt;&gt;0,C78/D78,0)</f>
        <v>0.5025323448013298</v>
      </c>
      <c r="K78" s="106" t="s">
        <v>231</v>
      </c>
      <c r="R78" s="1"/>
    </row>
    <row r="79" spans="1:18" ht="15" x14ac:dyDescent="0.25">
      <c r="A79" s="1">
        <f t="shared" ref="A79" si="26">MAX(A76:A78)+NoOne</f>
        <v>10</v>
      </c>
      <c r="B79" s="106" t="s">
        <v>234</v>
      </c>
      <c r="C79" s="202">
        <v>23929645.322584182</v>
      </c>
      <c r="D79" s="164">
        <v>42858447.734829403</v>
      </c>
      <c r="E79" s="164">
        <f t="shared" si="24"/>
        <v>0</v>
      </c>
      <c r="F79" s="164">
        <f t="shared" ref="F79:F85" si="27">C79-D79-E79</f>
        <v>-18928802.412245221</v>
      </c>
      <c r="G79" s="164"/>
      <c r="H79" s="164">
        <f t="shared" si="25"/>
        <v>23929645.322584182</v>
      </c>
      <c r="I79" s="203">
        <f t="shared" ref="I79:I85" si="28">IF(D79&lt;&gt;0,C79/D79,0)</f>
        <v>0.55834139095843838</v>
      </c>
      <c r="K79" s="106" t="s">
        <v>233</v>
      </c>
    </row>
    <row r="80" spans="1:18" ht="15" x14ac:dyDescent="0.25">
      <c r="A80" s="1">
        <f t="shared" ref="A80" si="29">MAX(A77:A79)+NoOne</f>
        <v>11</v>
      </c>
      <c r="B80" s="106" t="s">
        <v>236</v>
      </c>
      <c r="C80" s="202">
        <v>21703.949999999997</v>
      </c>
      <c r="D80" s="164">
        <v>120316.18125630789</v>
      </c>
      <c r="E80" s="164">
        <f t="shared" si="24"/>
        <v>0</v>
      </c>
      <c r="F80" s="164">
        <f t="shared" si="27"/>
        <v>-98612.231256307889</v>
      </c>
      <c r="G80" s="164"/>
      <c r="H80" s="164">
        <f t="shared" si="25"/>
        <v>21703.949999999997</v>
      </c>
      <c r="I80" s="203">
        <f t="shared" si="28"/>
        <v>0.18039094802854799</v>
      </c>
      <c r="K80" s="106" t="s">
        <v>235</v>
      </c>
    </row>
    <row r="81" spans="1:11" ht="15" x14ac:dyDescent="0.25">
      <c r="A81" s="1">
        <f t="shared" ref="A81" si="30">MAX(A78:A80)+NoOne</f>
        <v>12</v>
      </c>
      <c r="B81" s="5" t="s">
        <v>377</v>
      </c>
      <c r="C81" s="202">
        <v>12084583.400972759</v>
      </c>
      <c r="D81" s="164">
        <v>18726443.10237832</v>
      </c>
      <c r="E81" s="164">
        <f t="shared" si="24"/>
        <v>0</v>
      </c>
      <c r="F81" s="164">
        <f t="shared" si="27"/>
        <v>-6641859.7014055606</v>
      </c>
      <c r="G81" s="164"/>
      <c r="H81" s="164">
        <f t="shared" si="25"/>
        <v>12084583.400972759</v>
      </c>
      <c r="I81" s="203">
        <f t="shared" si="28"/>
        <v>0.64532187639189087</v>
      </c>
      <c r="K81" s="106" t="s">
        <v>237</v>
      </c>
    </row>
    <row r="82" spans="1:11" ht="14.45" hidden="1" customHeight="1" x14ac:dyDescent="0.25">
      <c r="A82" s="1">
        <f t="shared" ref="A82" si="31">MAX(A79:A81)+NoOne</f>
        <v>13</v>
      </c>
      <c r="B82" s="106" t="s">
        <v>378</v>
      </c>
      <c r="C82" s="202">
        <v>0</v>
      </c>
      <c r="D82" s="164">
        <v>0</v>
      </c>
      <c r="E82" s="164">
        <f t="shared" si="24"/>
        <v>0</v>
      </c>
      <c r="F82" s="164">
        <f t="shared" si="27"/>
        <v>0</v>
      </c>
      <c r="G82" s="164"/>
      <c r="H82" s="164">
        <f t="shared" si="25"/>
        <v>0</v>
      </c>
      <c r="I82" s="203">
        <f t="shared" si="28"/>
        <v>0</v>
      </c>
      <c r="K82" s="106" t="s">
        <v>239</v>
      </c>
    </row>
    <row r="83" spans="1:11" ht="15" x14ac:dyDescent="0.25">
      <c r="A83" s="1">
        <f>MAX(A80:A81)+NoOne</f>
        <v>13</v>
      </c>
      <c r="B83" s="106" t="s">
        <v>379</v>
      </c>
      <c r="C83" s="202">
        <v>7645700.2165019428</v>
      </c>
      <c r="D83" s="164">
        <v>11511869.290480131</v>
      </c>
      <c r="E83" s="164">
        <f t="shared" si="24"/>
        <v>0</v>
      </c>
      <c r="F83" s="164">
        <f t="shared" si="27"/>
        <v>-3866169.0739781884</v>
      </c>
      <c r="G83" s="164"/>
      <c r="H83" s="164">
        <f t="shared" si="25"/>
        <v>7645700.2165019428</v>
      </c>
      <c r="I83" s="203">
        <f t="shared" si="28"/>
        <v>0.66415801149033549</v>
      </c>
      <c r="K83" s="106" t="s">
        <v>241</v>
      </c>
    </row>
    <row r="84" spans="1:11" ht="15" x14ac:dyDescent="0.25">
      <c r="A84" s="1">
        <f t="shared" ref="A84" si="32">MAX(A81:A83)+NoOne</f>
        <v>14</v>
      </c>
      <c r="B84" s="106" t="s">
        <v>380</v>
      </c>
      <c r="C84" s="202">
        <v>5260869.3307651561</v>
      </c>
      <c r="D84" s="164">
        <v>7187261.5622420013</v>
      </c>
      <c r="E84" s="164">
        <f t="shared" si="24"/>
        <v>0</v>
      </c>
      <c r="F84" s="164">
        <f t="shared" si="27"/>
        <v>-1926392.2314768452</v>
      </c>
      <c r="G84" s="164"/>
      <c r="H84" s="164">
        <f t="shared" si="25"/>
        <v>5260869.3307651561</v>
      </c>
      <c r="I84" s="203">
        <f t="shared" si="28"/>
        <v>0.73197131970303242</v>
      </c>
      <c r="K84" s="106" t="s">
        <v>243</v>
      </c>
    </row>
    <row r="85" spans="1:11" ht="15" x14ac:dyDescent="0.25">
      <c r="A85" s="1">
        <f t="shared" ref="A85" si="33">MAX(A82:A84)+NoOne</f>
        <v>15</v>
      </c>
      <c r="B85" s="106" t="s">
        <v>246</v>
      </c>
      <c r="C85" s="202">
        <v>1177608.1732799991</v>
      </c>
      <c r="D85" s="164">
        <v>1630153.6727959702</v>
      </c>
      <c r="E85" s="164">
        <f t="shared" si="24"/>
        <v>0</v>
      </c>
      <c r="F85" s="164">
        <f t="shared" si="27"/>
        <v>-452545.49951597117</v>
      </c>
      <c r="G85" s="164"/>
      <c r="H85" s="164">
        <f t="shared" si="25"/>
        <v>1177608.1732799991</v>
      </c>
      <c r="I85" s="203">
        <f t="shared" si="28"/>
        <v>0.72239089659578881</v>
      </c>
      <c r="K85" s="106" t="s">
        <v>245</v>
      </c>
    </row>
    <row r="86" spans="1:11" x14ac:dyDescent="0.2">
      <c r="B86" s="163"/>
      <c r="C86" s="163"/>
      <c r="D86" s="163"/>
      <c r="E86" s="163"/>
      <c r="F86" s="163"/>
      <c r="H86" s="163"/>
      <c r="I86" s="204"/>
    </row>
    <row r="87" spans="1:11" x14ac:dyDescent="0.2">
      <c r="A87" s="1">
        <f>MAX(A84:A86)+NoOne</f>
        <v>16</v>
      </c>
      <c r="B87" s="2" t="s">
        <v>381</v>
      </c>
      <c r="C87" s="181">
        <f>SUM(C78:C85)</f>
        <v>68909057.952898145</v>
      </c>
      <c r="D87" s="181">
        <f>SUM(D78:D85)</f>
        <v>119423025.34317885</v>
      </c>
      <c r="E87" s="181">
        <f>SUM(E78:E85)</f>
        <v>0</v>
      </c>
      <c r="F87" s="181">
        <f>SUM(F78:F85)</f>
        <v>-50513967.390280709</v>
      </c>
      <c r="G87" s="181"/>
      <c r="H87" s="181">
        <f>SUM(H78:H85)</f>
        <v>68909057.952898145</v>
      </c>
      <c r="I87" s="182">
        <f>IF(D87&lt;&gt;0,C87/D87,0)</f>
        <v>0.57701651549086352</v>
      </c>
      <c r="J87" s="165"/>
    </row>
    <row r="88" spans="1:11" ht="13.5" thickBot="1" x14ac:dyDescent="0.25">
      <c r="A88" s="1">
        <f>MAX(A85:A87)+NoOne</f>
        <v>17</v>
      </c>
      <c r="B88" s="2" t="s">
        <v>382</v>
      </c>
      <c r="C88" s="205">
        <f>SUM(C87,C73,C68,C75)</f>
        <v>1250802242.2928982</v>
      </c>
      <c r="D88" s="205">
        <f>SUM(D87,D73,D68,D75)</f>
        <v>1206131974.2441251</v>
      </c>
      <c r="E88" s="205">
        <f>SUM(E87,E73,E68,E75)</f>
        <v>0</v>
      </c>
      <c r="F88" s="205">
        <f>SUM(F87,F73,F68,F75)</f>
        <v>44674653.194020391</v>
      </c>
      <c r="G88" s="205"/>
      <c r="H88" s="205">
        <f>SUM(H87,H73,H68,H75)</f>
        <v>1250806627.4381454</v>
      </c>
      <c r="I88" s="185">
        <f>IF(D88&lt;&gt;0,C88/D88,0)</f>
        <v>1.0370359703603478</v>
      </c>
    </row>
    <row r="89" spans="1:11" ht="13.5" thickTop="1" x14ac:dyDescent="0.2">
      <c r="H89" s="163"/>
    </row>
    <row r="90" spans="1:11" ht="15" x14ac:dyDescent="0.25">
      <c r="C90" s="206"/>
      <c r="D90" s="164"/>
      <c r="H90" s="163"/>
    </row>
    <row r="91" spans="1:11" x14ac:dyDescent="0.2">
      <c r="H91" s="163"/>
    </row>
    <row r="92" spans="1:11" x14ac:dyDescent="0.2">
      <c r="B92" s="173"/>
    </row>
    <row r="93" spans="1:11" x14ac:dyDescent="0.2">
      <c r="B93" s="191"/>
      <c r="E93" s="163"/>
    </row>
    <row r="94" spans="1:11" hidden="1" x14ac:dyDescent="0.2">
      <c r="B94" s="191"/>
    </row>
    <row r="95" spans="1:11" hidden="1" x14ac:dyDescent="0.2">
      <c r="B95" s="207"/>
    </row>
    <row r="96" spans="1:11" hidden="1" x14ac:dyDescent="0.2"/>
    <row r="97" spans="1:18" x14ac:dyDescent="0.2">
      <c r="I97" s="151" t="s">
        <v>495</v>
      </c>
    </row>
    <row r="98" spans="1:18" x14ac:dyDescent="0.2">
      <c r="I98" s="151" t="s">
        <v>383</v>
      </c>
    </row>
    <row r="99" spans="1:18" x14ac:dyDescent="0.2">
      <c r="I99" s="153"/>
    </row>
    <row r="101" spans="1:18" x14ac:dyDescent="0.2">
      <c r="A101" s="154" t="str">
        <f>+A6</f>
        <v>NEWFOUNDLAND AND LABRADOR HYDRO</v>
      </c>
      <c r="B101" s="154"/>
      <c r="C101" s="154"/>
      <c r="D101" s="154"/>
      <c r="E101" s="154"/>
      <c r="F101" s="154"/>
      <c r="G101" s="154"/>
      <c r="H101" s="154"/>
      <c r="I101" s="154"/>
    </row>
    <row r="102" spans="1:18" x14ac:dyDescent="0.2">
      <c r="A102" s="154" t="str">
        <f>RunName</f>
        <v>2027 Test Year Cost of Service Study (No Rate Mitigation)</v>
      </c>
      <c r="B102" s="154"/>
      <c r="C102" s="154"/>
      <c r="D102" s="154"/>
      <c r="E102" s="154"/>
      <c r="F102" s="154"/>
      <c r="G102" s="154"/>
      <c r="H102" s="154"/>
      <c r="I102" s="154"/>
    </row>
    <row r="103" spans="1:18" x14ac:dyDescent="0.2">
      <c r="A103" s="154" t="s">
        <v>368</v>
      </c>
      <c r="B103" s="154"/>
      <c r="C103" s="154"/>
      <c r="D103" s="154"/>
      <c r="E103" s="154"/>
      <c r="F103" s="154"/>
      <c r="G103" s="154"/>
      <c r="H103" s="154"/>
      <c r="I103" s="154"/>
    </row>
    <row r="104" spans="1:18" x14ac:dyDescent="0.2">
      <c r="A104" s="154" t="s">
        <v>329</v>
      </c>
      <c r="B104" s="154"/>
      <c r="C104" s="154"/>
      <c r="D104" s="154"/>
      <c r="E104" s="154"/>
      <c r="F104" s="154"/>
      <c r="G104" s="154"/>
      <c r="H104" s="154"/>
      <c r="I104" s="154"/>
      <c r="R104" s="1"/>
    </row>
    <row r="105" spans="1:18" s="1" customFormat="1" x14ac:dyDescent="0.2"/>
    <row r="106" spans="1:18" s="1" customFormat="1" x14ac:dyDescent="0.2">
      <c r="B106" s="1">
        <f t="shared" ref="B106:I106" si="34">MAX(A106)+NoOne</f>
        <v>1</v>
      </c>
      <c r="C106" s="1">
        <f t="shared" si="34"/>
        <v>2</v>
      </c>
      <c r="D106" s="1">
        <f t="shared" si="34"/>
        <v>3</v>
      </c>
      <c r="E106" s="1">
        <f t="shared" si="34"/>
        <v>4</v>
      </c>
      <c r="F106" s="1">
        <f t="shared" si="34"/>
        <v>5</v>
      </c>
      <c r="G106" s="1">
        <f t="shared" si="34"/>
        <v>6</v>
      </c>
      <c r="H106" s="1">
        <f>MAX(F106)+NoOne</f>
        <v>6</v>
      </c>
      <c r="I106" s="1">
        <f t="shared" si="34"/>
        <v>7</v>
      </c>
    </row>
    <row r="107" spans="1:18" s="1" customFormat="1" x14ac:dyDescent="0.2"/>
    <row r="108" spans="1:18" x14ac:dyDescent="0.2">
      <c r="B108" s="1"/>
      <c r="C108" s="1"/>
      <c r="D108" s="156" t="s">
        <v>332</v>
      </c>
      <c r="E108" s="1"/>
      <c r="F108" s="1"/>
      <c r="H108" s="156" t="s">
        <v>333</v>
      </c>
      <c r="I108" s="1" t="s">
        <v>277</v>
      </c>
    </row>
    <row r="109" spans="1:18" x14ac:dyDescent="0.2">
      <c r="A109" s="1" t="s">
        <v>14</v>
      </c>
      <c r="B109" s="1"/>
      <c r="C109" s="1"/>
      <c r="D109" s="1" t="s">
        <v>335</v>
      </c>
      <c r="E109" s="1" t="s">
        <v>277</v>
      </c>
      <c r="F109" s="1"/>
      <c r="G109" s="156" t="s">
        <v>336</v>
      </c>
      <c r="H109" s="156" t="s">
        <v>337</v>
      </c>
      <c r="I109" s="1" t="s">
        <v>338</v>
      </c>
    </row>
    <row r="110" spans="1:18" x14ac:dyDescent="0.2">
      <c r="A110" s="1" t="s">
        <v>30</v>
      </c>
      <c r="B110" s="1" t="s">
        <v>342</v>
      </c>
      <c r="C110" s="1" t="s">
        <v>343</v>
      </c>
      <c r="D110" s="1" t="s">
        <v>344</v>
      </c>
      <c r="E110" s="1" t="s">
        <v>373</v>
      </c>
      <c r="F110" s="1" t="s">
        <v>346</v>
      </c>
      <c r="G110" s="1" t="s">
        <v>347</v>
      </c>
      <c r="H110" s="1" t="s">
        <v>344</v>
      </c>
      <c r="I110" s="1" t="s">
        <v>348</v>
      </c>
    </row>
    <row r="111" spans="1:18" x14ac:dyDescent="0.2">
      <c r="B111" s="1"/>
      <c r="C111" s="1"/>
      <c r="D111" s="1"/>
      <c r="E111" s="1"/>
      <c r="F111" s="1"/>
      <c r="H111" s="161" t="s">
        <v>352</v>
      </c>
      <c r="I111" s="12" t="s">
        <v>353</v>
      </c>
    </row>
    <row r="112" spans="1:18" x14ac:dyDescent="0.2">
      <c r="B112" s="1"/>
      <c r="C112" s="1" t="s">
        <v>37</v>
      </c>
      <c r="D112" s="1" t="s">
        <v>37</v>
      </c>
      <c r="E112" s="1" t="s">
        <v>37</v>
      </c>
      <c r="F112" s="1" t="s">
        <v>37</v>
      </c>
      <c r="G112" s="1" t="s">
        <v>37</v>
      </c>
      <c r="H112" s="1" t="s">
        <v>37</v>
      </c>
      <c r="I112" s="1"/>
    </row>
    <row r="115" spans="1:12" x14ac:dyDescent="0.2">
      <c r="B115" s="2" t="s">
        <v>368</v>
      </c>
    </row>
    <row r="116" spans="1:12" ht="15" x14ac:dyDescent="0.25">
      <c r="A116" s="1">
        <f t="shared" ref="A116" si="35">MAX(A113:A115)+NoOne</f>
        <v>1</v>
      </c>
      <c r="B116" s="5" t="s">
        <v>384</v>
      </c>
      <c r="C116" s="202">
        <v>809510.05334059661</v>
      </c>
      <c r="D116" s="164">
        <v>7704844.263737564</v>
      </c>
      <c r="E116" s="164"/>
      <c r="F116" s="164">
        <f>C116-D116</f>
        <v>-6895334.2103969678</v>
      </c>
      <c r="G116" s="164"/>
      <c r="H116" s="164">
        <f t="shared" ref="H116:H126" si="36">SUM(D116,F116)</f>
        <v>809510.05334059615</v>
      </c>
      <c r="I116" s="203">
        <f>IF(D116&lt;&gt;0,C116/D116,0)</f>
        <v>0.10506507667526938</v>
      </c>
      <c r="K116" s="208" t="s">
        <v>385</v>
      </c>
      <c r="L116" s="208"/>
    </row>
    <row r="117" spans="1:12" ht="15" x14ac:dyDescent="0.25">
      <c r="A117" s="1">
        <f t="shared" ref="A117" si="37">MAX(A114:A116)+NoOne</f>
        <v>2</v>
      </c>
      <c r="B117" s="5" t="s">
        <v>386</v>
      </c>
      <c r="C117" s="202">
        <v>0</v>
      </c>
      <c r="D117" s="164">
        <v>55464.455893001636</v>
      </c>
      <c r="E117" s="164"/>
      <c r="F117" s="164">
        <f t="shared" ref="F117:F126" si="38">C117-D117</f>
        <v>-55464.455893001636</v>
      </c>
      <c r="G117" s="164"/>
      <c r="H117" s="164">
        <f t="shared" si="36"/>
        <v>0</v>
      </c>
      <c r="I117" s="203">
        <f t="shared" ref="I117:I126" si="39">IF(D117&lt;&gt;0,C117/D117,0)</f>
        <v>0</v>
      </c>
      <c r="K117" s="208" t="s">
        <v>387</v>
      </c>
      <c r="L117" s="208"/>
    </row>
    <row r="118" spans="1:12" ht="15" x14ac:dyDescent="0.25">
      <c r="A118" s="1">
        <f t="shared" ref="A118" si="40">MAX(A115:A117)+NoOne</f>
        <v>3</v>
      </c>
      <c r="B118" s="209" t="s">
        <v>388</v>
      </c>
      <c r="C118" s="202">
        <v>54842.660460796527</v>
      </c>
      <c r="D118" s="164">
        <v>367318.76345747465</v>
      </c>
      <c r="E118" s="164"/>
      <c r="F118" s="164">
        <f t="shared" si="38"/>
        <v>-312476.10299667809</v>
      </c>
      <c r="G118" s="164"/>
      <c r="H118" s="164">
        <f t="shared" si="36"/>
        <v>54842.660460796556</v>
      </c>
      <c r="I118" s="203">
        <f t="shared" si="39"/>
        <v>0.14930536067522668</v>
      </c>
      <c r="K118" s="208" t="s">
        <v>389</v>
      </c>
      <c r="L118" s="208"/>
    </row>
    <row r="119" spans="1:12" ht="15" x14ac:dyDescent="0.25">
      <c r="A119" s="1">
        <f t="shared" ref="A119" si="41">MAX(A116:A118)+NoOne</f>
        <v>4</v>
      </c>
      <c r="B119" s="106" t="s">
        <v>390</v>
      </c>
      <c r="C119" s="202">
        <v>285054.36288423219</v>
      </c>
      <c r="D119" s="202">
        <v>823424.74077321135</v>
      </c>
      <c r="E119" s="164"/>
      <c r="F119" s="164">
        <f t="shared" si="38"/>
        <v>-538370.37788897916</v>
      </c>
      <c r="G119" s="164"/>
      <c r="H119" s="164">
        <f t="shared" si="36"/>
        <v>285054.36288423219</v>
      </c>
      <c r="I119" s="203">
        <f t="shared" si="39"/>
        <v>0.3461814404757389</v>
      </c>
      <c r="K119" s="208" t="s">
        <v>391</v>
      </c>
      <c r="L119" s="208"/>
    </row>
    <row r="120" spans="1:12" ht="15" x14ac:dyDescent="0.25">
      <c r="A120" s="1">
        <f t="shared" ref="A120" si="42">MAX(A117:A119)+NoOne</f>
        <v>5</v>
      </c>
      <c r="B120" s="5" t="s">
        <v>240</v>
      </c>
      <c r="C120" s="202">
        <v>535299.34273159155</v>
      </c>
      <c r="D120" s="202">
        <v>1290296.0560981249</v>
      </c>
      <c r="E120" s="164"/>
      <c r="F120" s="164">
        <f t="shared" si="38"/>
        <v>-754996.7133665334</v>
      </c>
      <c r="G120" s="164"/>
      <c r="H120" s="164">
        <f t="shared" si="36"/>
        <v>535299.34273159155</v>
      </c>
      <c r="I120" s="203">
        <f t="shared" si="39"/>
        <v>0.4148655188099582</v>
      </c>
      <c r="K120" s="208" t="s">
        <v>392</v>
      </c>
      <c r="L120" s="208"/>
    </row>
    <row r="121" spans="1:12" ht="15" x14ac:dyDescent="0.25">
      <c r="A121" s="1">
        <f t="shared" ref="A121" si="43">MAX(A118:A120)+NoOne</f>
        <v>6</v>
      </c>
      <c r="B121" s="5" t="s">
        <v>242</v>
      </c>
      <c r="C121" s="202">
        <v>0</v>
      </c>
      <c r="D121" s="164">
        <v>0</v>
      </c>
      <c r="E121" s="164"/>
      <c r="F121" s="164">
        <f t="shared" si="38"/>
        <v>0</v>
      </c>
      <c r="G121" s="164"/>
      <c r="H121" s="164">
        <f t="shared" si="36"/>
        <v>0</v>
      </c>
      <c r="I121" s="203">
        <f t="shared" si="39"/>
        <v>0</v>
      </c>
      <c r="K121" s="208" t="s">
        <v>393</v>
      </c>
      <c r="L121" s="208"/>
    </row>
    <row r="122" spans="1:12" ht="15" x14ac:dyDescent="0.25">
      <c r="A122" s="1">
        <f t="shared" ref="A122" si="44">MAX(A119:A121)+NoOne</f>
        <v>7</v>
      </c>
      <c r="B122" s="106" t="s">
        <v>380</v>
      </c>
      <c r="C122" s="202">
        <v>0</v>
      </c>
      <c r="D122" s="164">
        <v>0</v>
      </c>
      <c r="E122" s="164"/>
      <c r="F122" s="164">
        <f t="shared" si="38"/>
        <v>0</v>
      </c>
      <c r="G122" s="164"/>
      <c r="H122" s="164">
        <f t="shared" si="36"/>
        <v>0</v>
      </c>
      <c r="I122" s="203">
        <f t="shared" si="39"/>
        <v>0</v>
      </c>
      <c r="K122" s="208" t="s">
        <v>394</v>
      </c>
      <c r="L122" s="208"/>
    </row>
    <row r="123" spans="1:12" ht="15" hidden="1" x14ac:dyDescent="0.25">
      <c r="A123" s="1">
        <f t="shared" ref="A123" si="45">MAX(A120:A122)+NoOne</f>
        <v>8</v>
      </c>
      <c r="B123" s="5" t="s">
        <v>395</v>
      </c>
      <c r="C123" s="202">
        <v>0</v>
      </c>
      <c r="D123" s="164">
        <v>0</v>
      </c>
      <c r="E123" s="164"/>
      <c r="F123" s="164">
        <f t="shared" si="38"/>
        <v>0</v>
      </c>
      <c r="G123" s="164"/>
      <c r="H123" s="164">
        <f t="shared" si="36"/>
        <v>0</v>
      </c>
      <c r="I123" s="203">
        <f t="shared" si="39"/>
        <v>0</v>
      </c>
      <c r="K123" s="208" t="s">
        <v>396</v>
      </c>
      <c r="L123" s="208"/>
    </row>
    <row r="124" spans="1:12" ht="15" hidden="1" x14ac:dyDescent="0.25">
      <c r="A124" s="1">
        <f t="shared" ref="A124" si="46">MAX(A121:A123)+NoOne</f>
        <v>9</v>
      </c>
      <c r="B124" s="5" t="s">
        <v>397</v>
      </c>
      <c r="C124" s="202">
        <v>0</v>
      </c>
      <c r="D124" s="164">
        <v>0</v>
      </c>
      <c r="E124" s="164"/>
      <c r="F124" s="164">
        <f t="shared" si="38"/>
        <v>0</v>
      </c>
      <c r="G124" s="164"/>
      <c r="H124" s="164">
        <f t="shared" si="36"/>
        <v>0</v>
      </c>
      <c r="I124" s="203">
        <f t="shared" si="39"/>
        <v>0</v>
      </c>
      <c r="K124" s="208" t="s">
        <v>398</v>
      </c>
      <c r="L124" s="208"/>
    </row>
    <row r="125" spans="1:12" ht="15" x14ac:dyDescent="0.25">
      <c r="A125" s="1">
        <v>8</v>
      </c>
      <c r="B125" s="5" t="s">
        <v>246</v>
      </c>
      <c r="C125" s="202">
        <v>26858.520479999981</v>
      </c>
      <c r="D125" s="202">
        <v>163053.22773518122</v>
      </c>
      <c r="E125" s="164"/>
      <c r="F125" s="164">
        <f t="shared" si="38"/>
        <v>-136194.70725518125</v>
      </c>
      <c r="G125" s="164"/>
      <c r="H125" s="164">
        <f t="shared" si="36"/>
        <v>26858.520479999977</v>
      </c>
      <c r="I125" s="203">
        <f t="shared" si="39"/>
        <v>0.16472240907503879</v>
      </c>
      <c r="K125" s="208" t="s">
        <v>399</v>
      </c>
      <c r="L125" s="208"/>
    </row>
    <row r="126" spans="1:12" ht="15" x14ac:dyDescent="0.25">
      <c r="A126" s="1">
        <v>9</v>
      </c>
      <c r="B126" s="209" t="s">
        <v>400</v>
      </c>
      <c r="C126" s="202">
        <v>6384</v>
      </c>
      <c r="D126" s="164">
        <v>0</v>
      </c>
      <c r="E126" s="164"/>
      <c r="F126" s="164">
        <f t="shared" si="38"/>
        <v>6384</v>
      </c>
      <c r="G126" s="164"/>
      <c r="H126" s="164">
        <f t="shared" si="36"/>
        <v>6384</v>
      </c>
      <c r="I126" s="203">
        <f t="shared" si="39"/>
        <v>0</v>
      </c>
      <c r="K126" s="208" t="s">
        <v>401</v>
      </c>
      <c r="L126" s="208"/>
    </row>
    <row r="127" spans="1:12" x14ac:dyDescent="0.2">
      <c r="B127" s="5"/>
      <c r="C127" s="186"/>
      <c r="D127" s="186"/>
      <c r="E127" s="186"/>
      <c r="F127" s="193"/>
      <c r="H127" s="186"/>
      <c r="I127" s="204"/>
    </row>
    <row r="128" spans="1:12" ht="17.25" thickBot="1" x14ac:dyDescent="0.35">
      <c r="A128" s="1">
        <f>MAX(A125:A127)+NoOne</f>
        <v>10</v>
      </c>
      <c r="B128" s="20" t="s">
        <v>248</v>
      </c>
      <c r="C128" s="210">
        <f>SUM(C116:C126)</f>
        <v>1717948.9398972169</v>
      </c>
      <c r="D128" s="210">
        <f>SUM(D116:D126)</f>
        <v>10404401.507694557</v>
      </c>
      <c r="E128" s="210"/>
      <c r="F128" s="210">
        <f>SUM(F116:F126)</f>
        <v>-8686452.5677973405</v>
      </c>
      <c r="G128" s="210"/>
      <c r="H128" s="210">
        <f>SUM(H116:H126)</f>
        <v>1717948.9398972164</v>
      </c>
      <c r="I128" s="211">
        <f>IF(D128&lt;&gt;0,C128/D128,0)</f>
        <v>0.16511751671893002</v>
      </c>
    </row>
    <row r="129" spans="1:18" ht="13.5" thickTop="1" x14ac:dyDescent="0.2">
      <c r="I129" s="204"/>
    </row>
    <row r="132" spans="1:18" x14ac:dyDescent="0.2">
      <c r="R132" s="1"/>
    </row>
    <row r="135" spans="1:18" x14ac:dyDescent="0.2">
      <c r="I135" s="151" t="s">
        <v>495</v>
      </c>
    </row>
    <row r="136" spans="1:18" x14ac:dyDescent="0.2">
      <c r="I136" s="151" t="s">
        <v>402</v>
      </c>
    </row>
    <row r="137" spans="1:18" x14ac:dyDescent="0.2">
      <c r="I137" s="153"/>
    </row>
    <row r="139" spans="1:18" x14ac:dyDescent="0.2">
      <c r="A139" s="154" t="str">
        <f>+A6</f>
        <v>NEWFOUNDLAND AND LABRADOR HYDRO</v>
      </c>
      <c r="B139" s="154"/>
      <c r="C139" s="154"/>
      <c r="D139" s="154"/>
      <c r="E139" s="154"/>
      <c r="F139" s="154"/>
      <c r="G139" s="154"/>
      <c r="H139" s="154"/>
      <c r="I139" s="154"/>
    </row>
    <row r="140" spans="1:18" x14ac:dyDescent="0.2">
      <c r="A140" s="154" t="str">
        <f>RunName</f>
        <v>2027 Test Year Cost of Service Study (No Rate Mitigation)</v>
      </c>
      <c r="B140" s="154"/>
      <c r="C140" s="154"/>
      <c r="D140" s="154"/>
      <c r="E140" s="154"/>
      <c r="F140" s="154"/>
      <c r="G140" s="154"/>
      <c r="H140" s="154"/>
      <c r="I140" s="154"/>
    </row>
    <row r="141" spans="1:18" x14ac:dyDescent="0.2">
      <c r="A141" s="154" t="s">
        <v>369</v>
      </c>
      <c r="B141" s="154"/>
      <c r="C141" s="154"/>
      <c r="D141" s="154"/>
      <c r="E141" s="154"/>
      <c r="F141" s="154"/>
      <c r="G141" s="154"/>
      <c r="H141" s="154"/>
      <c r="I141" s="154"/>
    </row>
    <row r="142" spans="1:18" x14ac:dyDescent="0.2">
      <c r="A142" s="154" t="s">
        <v>329</v>
      </c>
      <c r="B142" s="154"/>
      <c r="C142" s="154"/>
      <c r="D142" s="154"/>
      <c r="E142" s="154"/>
      <c r="F142" s="154"/>
      <c r="G142" s="154"/>
      <c r="H142" s="154"/>
      <c r="I142" s="154"/>
    </row>
    <row r="143" spans="1:18" s="1" customFormat="1" x14ac:dyDescent="0.2"/>
    <row r="144" spans="1:18" s="1" customFormat="1" x14ac:dyDescent="0.2">
      <c r="B144" s="1">
        <f t="shared" ref="B144:I144" si="47">MAX(A144)+NoOne</f>
        <v>1</v>
      </c>
      <c r="C144" s="1">
        <f t="shared" si="47"/>
        <v>2</v>
      </c>
      <c r="D144" s="1">
        <f t="shared" si="47"/>
        <v>3</v>
      </c>
      <c r="E144" s="1">
        <f t="shared" si="47"/>
        <v>4</v>
      </c>
      <c r="F144" s="1">
        <f t="shared" si="47"/>
        <v>5</v>
      </c>
      <c r="G144" s="1">
        <f t="shared" si="47"/>
        <v>6</v>
      </c>
      <c r="H144" s="1">
        <f>MAX(F144)+NoOne</f>
        <v>6</v>
      </c>
      <c r="I144" s="1">
        <f t="shared" si="47"/>
        <v>7</v>
      </c>
    </row>
    <row r="145" spans="1:18" s="1" customFormat="1" x14ac:dyDescent="0.2"/>
    <row r="146" spans="1:18" x14ac:dyDescent="0.2">
      <c r="B146" s="1"/>
      <c r="C146" s="1"/>
      <c r="D146" s="156" t="s">
        <v>332</v>
      </c>
      <c r="E146" s="1"/>
      <c r="F146" s="1"/>
      <c r="H146" s="156" t="s">
        <v>333</v>
      </c>
      <c r="I146" s="1" t="s">
        <v>277</v>
      </c>
    </row>
    <row r="147" spans="1:18" x14ac:dyDescent="0.2">
      <c r="A147" s="1" t="s">
        <v>14</v>
      </c>
      <c r="B147" s="1"/>
      <c r="C147" s="1"/>
      <c r="D147" s="1" t="s">
        <v>335</v>
      </c>
      <c r="E147" s="1" t="s">
        <v>277</v>
      </c>
      <c r="F147" s="1"/>
      <c r="G147" s="156" t="s">
        <v>336</v>
      </c>
      <c r="H147" s="156" t="s">
        <v>337</v>
      </c>
      <c r="I147" s="1" t="s">
        <v>338</v>
      </c>
    </row>
    <row r="148" spans="1:18" x14ac:dyDescent="0.2">
      <c r="A148" s="1" t="s">
        <v>30</v>
      </c>
      <c r="B148" s="1" t="s">
        <v>342</v>
      </c>
      <c r="C148" s="1" t="s">
        <v>343</v>
      </c>
      <c r="D148" s="1" t="s">
        <v>344</v>
      </c>
      <c r="E148" s="1" t="s">
        <v>373</v>
      </c>
      <c r="F148" s="1" t="s">
        <v>346</v>
      </c>
      <c r="G148" s="1" t="s">
        <v>347</v>
      </c>
      <c r="H148" s="1" t="s">
        <v>344</v>
      </c>
      <c r="I148" s="1" t="s">
        <v>348</v>
      </c>
    </row>
    <row r="149" spans="1:18" x14ac:dyDescent="0.2">
      <c r="B149" s="1"/>
      <c r="C149" s="1"/>
      <c r="D149" s="1"/>
      <c r="E149" s="1"/>
      <c r="F149" s="1"/>
      <c r="H149" s="161" t="s">
        <v>352</v>
      </c>
      <c r="I149" s="12" t="s">
        <v>353</v>
      </c>
    </row>
    <row r="150" spans="1:18" x14ac:dyDescent="0.2">
      <c r="B150" s="1"/>
      <c r="C150" s="1" t="s">
        <v>37</v>
      </c>
      <c r="D150" s="1" t="s">
        <v>37</v>
      </c>
      <c r="E150" s="1" t="s">
        <v>37</v>
      </c>
      <c r="F150" s="1" t="s">
        <v>37</v>
      </c>
      <c r="G150" s="1" t="s">
        <v>37</v>
      </c>
      <c r="H150" s="1" t="s">
        <v>37</v>
      </c>
      <c r="I150" s="1"/>
    </row>
    <row r="153" spans="1:18" x14ac:dyDescent="0.2">
      <c r="B153" s="2" t="s">
        <v>369</v>
      </c>
    </row>
    <row r="154" spans="1:18" ht="15" x14ac:dyDescent="0.25">
      <c r="A154" s="1">
        <f t="shared" ref="A154" si="48">MAX(A151:A153)+NoOne</f>
        <v>1</v>
      </c>
      <c r="B154" s="5" t="s">
        <v>384</v>
      </c>
      <c r="C154" s="202">
        <v>4669502.3740669573</v>
      </c>
      <c r="D154" s="164">
        <v>25171515.047610119</v>
      </c>
      <c r="E154" s="164"/>
      <c r="F154" s="164">
        <f>C154-D154</f>
        <v>-20502012.673543163</v>
      </c>
      <c r="G154" s="164"/>
      <c r="H154" s="164">
        <f t="shared" ref="H154:H164" si="49">SUM(D154,F154)</f>
        <v>4669502.3740669563</v>
      </c>
      <c r="I154" s="203">
        <f>IF(D154&lt;&gt;0,C154/D154,0)</f>
        <v>0.18550740252364339</v>
      </c>
      <c r="K154" s="106" t="s">
        <v>403</v>
      </c>
    </row>
    <row r="155" spans="1:18" ht="15" x14ac:dyDescent="0.25">
      <c r="A155" s="1">
        <f t="shared" ref="A155" si="50">MAX(A152:A154)+NoOne</f>
        <v>2</v>
      </c>
      <c r="B155" s="5" t="s">
        <v>386</v>
      </c>
      <c r="C155" s="202">
        <v>945103.9988196888</v>
      </c>
      <c r="D155" s="164">
        <v>894392.75602439465</v>
      </c>
      <c r="E155" s="164"/>
      <c r="F155" s="164">
        <f t="shared" ref="F155:F163" si="51">C155-D155</f>
        <v>50711.242795294151</v>
      </c>
      <c r="G155" s="164"/>
      <c r="H155" s="164">
        <f t="shared" si="49"/>
        <v>945103.9988196888</v>
      </c>
      <c r="I155" s="203">
        <f t="shared" ref="I155:I164" si="52">IF(D155&lt;&gt;0,C155/D155,0)</f>
        <v>1.0566990759414323</v>
      </c>
      <c r="K155" s="106" t="s">
        <v>404</v>
      </c>
    </row>
    <row r="156" spans="1:18" ht="15" x14ac:dyDescent="0.25">
      <c r="A156" s="1">
        <f t="shared" ref="A156" si="53">MAX(A153:A155)+NoOne</f>
        <v>3</v>
      </c>
      <c r="B156" s="209" t="s">
        <v>388</v>
      </c>
      <c r="C156" s="202">
        <v>328741.89270779031</v>
      </c>
      <c r="D156" s="164">
        <v>1337649.2549823974</v>
      </c>
      <c r="E156" s="164"/>
      <c r="F156" s="164">
        <f t="shared" si="51"/>
        <v>-1008907.3622746072</v>
      </c>
      <c r="G156" s="164"/>
      <c r="H156" s="164">
        <f t="shared" si="49"/>
        <v>328741.89270779025</v>
      </c>
      <c r="I156" s="203">
        <f t="shared" si="52"/>
        <v>0.24576090592007718</v>
      </c>
      <c r="K156" s="106" t="s">
        <v>405</v>
      </c>
    </row>
    <row r="157" spans="1:18" ht="15" x14ac:dyDescent="0.25">
      <c r="A157" s="1">
        <f t="shared" ref="A157" si="54">MAX(A154:A156)+NoOne</f>
        <v>4</v>
      </c>
      <c r="B157" s="106" t="s">
        <v>390</v>
      </c>
      <c r="C157" s="202">
        <v>1505529.9763934463</v>
      </c>
      <c r="D157" s="164">
        <v>3692362.2730602482</v>
      </c>
      <c r="E157" s="164"/>
      <c r="F157" s="164">
        <f t="shared" si="51"/>
        <v>-2186832.2966668019</v>
      </c>
      <c r="G157" s="164"/>
      <c r="H157" s="164">
        <f t="shared" si="49"/>
        <v>1505529.9763934463</v>
      </c>
      <c r="I157" s="203">
        <f t="shared" si="52"/>
        <v>0.40774167458537475</v>
      </c>
      <c r="K157" s="106" t="s">
        <v>406</v>
      </c>
    </row>
    <row r="158" spans="1:18" ht="15" x14ac:dyDescent="0.25">
      <c r="A158" s="1">
        <f t="shared" ref="A158" si="55">MAX(A155:A157)+NoOne</f>
        <v>5</v>
      </c>
      <c r="B158" s="5" t="s">
        <v>240</v>
      </c>
      <c r="C158" s="202">
        <v>3760678.8175117802</v>
      </c>
      <c r="D158" s="164">
        <v>9555598.3239415344</v>
      </c>
      <c r="E158" s="164"/>
      <c r="F158" s="164">
        <f t="shared" si="51"/>
        <v>-5794919.5064297542</v>
      </c>
      <c r="G158" s="164"/>
      <c r="H158" s="164">
        <f t="shared" si="49"/>
        <v>3760678.8175117802</v>
      </c>
      <c r="I158" s="203">
        <f t="shared" si="52"/>
        <v>0.39355764966484685</v>
      </c>
      <c r="K158" s="106" t="s">
        <v>407</v>
      </c>
    </row>
    <row r="159" spans="1:18" ht="15" x14ac:dyDescent="0.25">
      <c r="A159" s="1">
        <f t="shared" ref="A159" si="56">MAX(A156:A158)+NoOne</f>
        <v>6</v>
      </c>
      <c r="B159" s="5" t="s">
        <v>242</v>
      </c>
      <c r="C159" s="202">
        <v>364087.48779334419</v>
      </c>
      <c r="D159" s="164">
        <v>1830406.5511158232</v>
      </c>
      <c r="E159" s="164"/>
      <c r="F159" s="164">
        <f t="shared" si="51"/>
        <v>-1466319.0633224789</v>
      </c>
      <c r="G159" s="164"/>
      <c r="H159" s="164">
        <f t="shared" si="49"/>
        <v>364087.48779334431</v>
      </c>
      <c r="I159" s="203">
        <f t="shared" si="52"/>
        <v>0.19891072153964648</v>
      </c>
      <c r="K159" s="106" t="s">
        <v>408</v>
      </c>
    </row>
    <row r="160" spans="1:18" ht="15" x14ac:dyDescent="0.25">
      <c r="A160" s="1">
        <f t="shared" ref="A160" si="57">MAX(A157:A159)+NoOne</f>
        <v>7</v>
      </c>
      <c r="B160" s="106" t="s">
        <v>380</v>
      </c>
      <c r="C160" s="202">
        <v>245159.76993788074</v>
      </c>
      <c r="D160" s="164">
        <v>1373674.8775542325</v>
      </c>
      <c r="E160" s="164"/>
      <c r="F160" s="164">
        <f t="shared" si="51"/>
        <v>-1128515.1076163517</v>
      </c>
      <c r="G160" s="164"/>
      <c r="H160" s="164">
        <f t="shared" si="49"/>
        <v>245159.7699378808</v>
      </c>
      <c r="I160" s="203">
        <f t="shared" si="52"/>
        <v>0.17847001058531178</v>
      </c>
      <c r="K160" s="106" t="s">
        <v>409</v>
      </c>
      <c r="R160" s="1"/>
    </row>
    <row r="161" spans="1:11" ht="15" hidden="1" x14ac:dyDescent="0.25">
      <c r="A161" s="1">
        <f t="shared" ref="A161" si="58">MAX(A158:A160)+NoOne</f>
        <v>8</v>
      </c>
      <c r="B161" s="5" t="s">
        <v>395</v>
      </c>
      <c r="C161" s="202">
        <v>0</v>
      </c>
      <c r="D161" s="164">
        <v>0</v>
      </c>
      <c r="E161" s="164"/>
      <c r="F161" s="164">
        <f t="shared" si="51"/>
        <v>0</v>
      </c>
      <c r="G161" s="164"/>
      <c r="H161" s="164">
        <f t="shared" si="49"/>
        <v>0</v>
      </c>
      <c r="I161" s="203">
        <f t="shared" si="52"/>
        <v>0</v>
      </c>
      <c r="K161" s="106" t="s">
        <v>410</v>
      </c>
    </row>
    <row r="162" spans="1:11" ht="15" hidden="1" x14ac:dyDescent="0.25">
      <c r="A162" s="1">
        <f t="shared" ref="A162" si="59">MAX(A159:A161)+NoOne</f>
        <v>9</v>
      </c>
      <c r="B162" s="5" t="s">
        <v>397</v>
      </c>
      <c r="C162" s="202">
        <v>0</v>
      </c>
      <c r="D162" s="164">
        <v>0</v>
      </c>
      <c r="E162" s="164"/>
      <c r="F162" s="164">
        <f t="shared" si="51"/>
        <v>0</v>
      </c>
      <c r="G162" s="164"/>
      <c r="H162" s="164">
        <f t="shared" si="49"/>
        <v>0</v>
      </c>
      <c r="I162" s="203">
        <f t="shared" si="52"/>
        <v>0</v>
      </c>
      <c r="K162" s="106" t="s">
        <v>411</v>
      </c>
    </row>
    <row r="163" spans="1:11" ht="15" x14ac:dyDescent="0.25">
      <c r="A163" s="1">
        <v>8</v>
      </c>
      <c r="B163" s="5" t="s">
        <v>246</v>
      </c>
      <c r="C163" s="202">
        <v>144154.86624000021</v>
      </c>
      <c r="D163" s="164">
        <v>309889.10472647514</v>
      </c>
      <c r="E163" s="164"/>
      <c r="F163" s="164">
        <f t="shared" si="51"/>
        <v>-165734.23848647493</v>
      </c>
      <c r="G163" s="164"/>
      <c r="H163" s="164">
        <f t="shared" si="49"/>
        <v>144154.86624000021</v>
      </c>
      <c r="I163" s="203">
        <f t="shared" si="52"/>
        <v>0.46518210560270934</v>
      </c>
      <c r="K163" s="106" t="s">
        <v>412</v>
      </c>
    </row>
    <row r="164" spans="1:11" ht="15" x14ac:dyDescent="0.25">
      <c r="A164" s="1">
        <v>9</v>
      </c>
      <c r="B164" s="209" t="s">
        <v>400</v>
      </c>
      <c r="C164" s="202">
        <v>6384</v>
      </c>
      <c r="D164" s="164">
        <v>0</v>
      </c>
      <c r="E164" s="164"/>
      <c r="F164" s="164">
        <f>C164-D164</f>
        <v>6384</v>
      </c>
      <c r="G164" s="164"/>
      <c r="H164" s="164">
        <f t="shared" si="49"/>
        <v>6384</v>
      </c>
      <c r="I164" s="203">
        <f t="shared" si="52"/>
        <v>0</v>
      </c>
      <c r="K164" s="106" t="s">
        <v>413</v>
      </c>
    </row>
    <row r="165" spans="1:11" x14ac:dyDescent="0.2">
      <c r="B165" s="5"/>
      <c r="C165" s="186"/>
      <c r="D165" s="186"/>
      <c r="E165" s="186"/>
      <c r="F165" s="193"/>
      <c r="H165" s="186"/>
      <c r="I165" s="204"/>
    </row>
    <row r="166" spans="1:11" ht="17.25" thickBot="1" x14ac:dyDescent="0.35">
      <c r="A166" s="1">
        <f>MAX(A163:A165)+NoOne</f>
        <v>10</v>
      </c>
      <c r="B166" s="20" t="s">
        <v>248</v>
      </c>
      <c r="C166" s="210">
        <f>SUM(C154:C164)</f>
        <v>11969343.183470888</v>
      </c>
      <c r="D166" s="210">
        <f>SUM(D154:D164)</f>
        <v>44165488.189015225</v>
      </c>
      <c r="E166" s="210"/>
      <c r="F166" s="210">
        <f t="shared" ref="F166" si="60">C166-D166</f>
        <v>-32196145.005544335</v>
      </c>
      <c r="G166" s="210"/>
      <c r="H166" s="210">
        <f>SUM(H154:H164)</f>
        <v>11969343.183470888</v>
      </c>
      <c r="I166" s="211">
        <f>IF(D166&lt;&gt;0,C166/D166,0)</f>
        <v>0.27101122786746157</v>
      </c>
    </row>
    <row r="167" spans="1:11" ht="13.5" thickTop="1" x14ac:dyDescent="0.2"/>
    <row r="173" spans="1:11" x14ac:dyDescent="0.2">
      <c r="I173" s="151" t="s">
        <v>495</v>
      </c>
    </row>
    <row r="174" spans="1:11" x14ac:dyDescent="0.2">
      <c r="I174" s="151" t="s">
        <v>414</v>
      </c>
    </row>
    <row r="175" spans="1:11" x14ac:dyDescent="0.2">
      <c r="I175" s="153"/>
    </row>
    <row r="177" spans="1:18" x14ac:dyDescent="0.2">
      <c r="A177" s="154" t="str">
        <f>+A6</f>
        <v>NEWFOUNDLAND AND LABRADOR HYDRO</v>
      </c>
      <c r="B177" s="154"/>
      <c r="C177" s="154"/>
      <c r="D177" s="154"/>
      <c r="E177" s="154"/>
      <c r="F177" s="154"/>
      <c r="G177" s="154"/>
      <c r="H177" s="154"/>
      <c r="I177" s="154"/>
    </row>
    <row r="178" spans="1:18" x14ac:dyDescent="0.2">
      <c r="A178" s="154" t="str">
        <f>RunName</f>
        <v>2027 Test Year Cost of Service Study (No Rate Mitigation)</v>
      </c>
      <c r="B178" s="154"/>
      <c r="C178" s="154"/>
      <c r="D178" s="154"/>
      <c r="E178" s="154"/>
      <c r="F178" s="154"/>
      <c r="G178" s="154"/>
      <c r="H178" s="154"/>
      <c r="I178" s="154"/>
    </row>
    <row r="179" spans="1:18" x14ac:dyDescent="0.2">
      <c r="A179" s="154" t="s">
        <v>370</v>
      </c>
      <c r="B179" s="154"/>
      <c r="C179" s="154"/>
      <c r="D179" s="154"/>
      <c r="E179" s="154"/>
      <c r="F179" s="154"/>
      <c r="G179" s="154"/>
      <c r="H179" s="154"/>
      <c r="I179" s="154"/>
    </row>
    <row r="180" spans="1:18" x14ac:dyDescent="0.2">
      <c r="A180" s="154" t="s">
        <v>329</v>
      </c>
      <c r="B180" s="154"/>
      <c r="C180" s="154"/>
      <c r="D180" s="154"/>
      <c r="E180" s="154"/>
      <c r="F180" s="154"/>
      <c r="G180" s="154"/>
      <c r="H180" s="154"/>
      <c r="I180" s="154"/>
    </row>
    <row r="181" spans="1:18" s="1" customFormat="1" x14ac:dyDescent="0.2"/>
    <row r="182" spans="1:18" s="1" customFormat="1" x14ac:dyDescent="0.2">
      <c r="B182" s="1">
        <f t="shared" ref="B182:I182" si="61">MAX(A182)+NoOne</f>
        <v>1</v>
      </c>
      <c r="C182" s="1">
        <f t="shared" si="61"/>
        <v>2</v>
      </c>
      <c r="D182" s="1">
        <f t="shared" si="61"/>
        <v>3</v>
      </c>
      <c r="E182" s="1">
        <f t="shared" si="61"/>
        <v>4</v>
      </c>
      <c r="F182" s="1">
        <f t="shared" si="61"/>
        <v>5</v>
      </c>
      <c r="G182" s="1">
        <f t="shared" si="61"/>
        <v>6</v>
      </c>
      <c r="H182" s="1">
        <f>MAX(F182)+NoOne</f>
        <v>6</v>
      </c>
      <c r="I182" s="1">
        <f t="shared" si="61"/>
        <v>7</v>
      </c>
    </row>
    <row r="183" spans="1:18" s="1" customFormat="1" x14ac:dyDescent="0.2"/>
    <row r="184" spans="1:18" x14ac:dyDescent="0.2">
      <c r="B184" s="1"/>
      <c r="C184" s="1"/>
      <c r="D184" s="156" t="s">
        <v>332</v>
      </c>
      <c r="E184" s="1"/>
      <c r="F184" s="1"/>
      <c r="H184" s="156" t="s">
        <v>333</v>
      </c>
      <c r="I184" s="1" t="s">
        <v>277</v>
      </c>
    </row>
    <row r="185" spans="1:18" x14ac:dyDescent="0.2">
      <c r="A185" s="1" t="s">
        <v>14</v>
      </c>
      <c r="B185" s="1"/>
      <c r="C185" s="1"/>
      <c r="D185" s="1" t="s">
        <v>335</v>
      </c>
      <c r="E185" s="1" t="s">
        <v>277</v>
      </c>
      <c r="F185" s="1"/>
      <c r="G185" s="156" t="s">
        <v>336</v>
      </c>
      <c r="H185" s="156" t="s">
        <v>337</v>
      </c>
      <c r="I185" s="1" t="s">
        <v>338</v>
      </c>
    </row>
    <row r="186" spans="1:18" ht="13.5" customHeight="1" x14ac:dyDescent="0.2">
      <c r="A186" s="1" t="s">
        <v>30</v>
      </c>
      <c r="B186" s="1" t="s">
        <v>342</v>
      </c>
      <c r="C186" s="1" t="s">
        <v>343</v>
      </c>
      <c r="D186" s="1" t="s">
        <v>344</v>
      </c>
      <c r="E186" s="1" t="s">
        <v>373</v>
      </c>
      <c r="F186" s="1" t="s">
        <v>346</v>
      </c>
      <c r="G186" s="1" t="s">
        <v>347</v>
      </c>
      <c r="H186" s="1" t="s">
        <v>344</v>
      </c>
      <c r="I186" s="1" t="s">
        <v>348</v>
      </c>
    </row>
    <row r="187" spans="1:18" ht="13.5" customHeight="1" x14ac:dyDescent="0.2">
      <c r="B187" s="1"/>
      <c r="C187" s="1"/>
      <c r="D187" s="1"/>
      <c r="E187" s="1"/>
      <c r="F187" s="1"/>
      <c r="H187" s="161" t="s">
        <v>352</v>
      </c>
      <c r="I187" s="12" t="s">
        <v>353</v>
      </c>
    </row>
    <row r="188" spans="1:18" ht="13.5" customHeight="1" x14ac:dyDescent="0.2">
      <c r="C188" s="1" t="s">
        <v>37</v>
      </c>
      <c r="D188" s="1" t="s">
        <v>37</v>
      </c>
      <c r="E188" s="1" t="s">
        <v>37</v>
      </c>
      <c r="F188" s="1" t="s">
        <v>37</v>
      </c>
      <c r="G188" s="1" t="s">
        <v>37</v>
      </c>
      <c r="H188" s="1" t="s">
        <v>37</v>
      </c>
      <c r="R188" s="1"/>
    </row>
    <row r="190" spans="1:18" x14ac:dyDescent="0.2">
      <c r="B190" s="2" t="s">
        <v>370</v>
      </c>
    </row>
    <row r="191" spans="1:18" ht="15" x14ac:dyDescent="0.25">
      <c r="A191" s="1">
        <f t="shared" ref="A191" si="62">MAX(A188:A190)+NoOne</f>
        <v>1</v>
      </c>
      <c r="B191" s="106" t="s">
        <v>232</v>
      </c>
      <c r="C191" s="202">
        <v>828511.29480396374</v>
      </c>
      <c r="D191" s="164">
        <v>2224303.689135131</v>
      </c>
      <c r="E191" s="164"/>
      <c r="F191" s="164">
        <f>C191-D191</f>
        <v>-1395792.3943311672</v>
      </c>
      <c r="G191" s="164"/>
      <c r="H191" s="164">
        <f t="shared" ref="H191:H196" si="63">SUM(D191,F191)</f>
        <v>828511.29480396374</v>
      </c>
      <c r="I191" s="203">
        <f t="shared" ref="I191:I196" si="64">IF(D191&lt;&gt;0,C191/D191,0)</f>
        <v>0.37248119438497679</v>
      </c>
      <c r="K191" s="106" t="s">
        <v>415</v>
      </c>
    </row>
    <row r="192" spans="1:18" ht="15" x14ac:dyDescent="0.25">
      <c r="A192" s="1">
        <f t="shared" ref="A192" si="65">MAX(A189:A191)+NoOne</f>
        <v>2</v>
      </c>
      <c r="B192" s="106" t="s">
        <v>234</v>
      </c>
      <c r="C192" s="202">
        <v>1782546.8304509185</v>
      </c>
      <c r="D192" s="164">
        <v>4421636.5928514004</v>
      </c>
      <c r="E192" s="164"/>
      <c r="F192" s="164">
        <f t="shared" ref="F192:F198" si="66">C192-D192</f>
        <v>-2639089.7624004818</v>
      </c>
      <c r="G192" s="164"/>
      <c r="H192" s="164">
        <f t="shared" si="63"/>
        <v>1782546.8304509185</v>
      </c>
      <c r="I192" s="203">
        <f t="shared" si="64"/>
        <v>0.40314186682207631</v>
      </c>
      <c r="K192" s="106" t="s">
        <v>416</v>
      </c>
    </row>
    <row r="193" spans="1:11" ht="15" x14ac:dyDescent="0.25">
      <c r="A193" s="1">
        <f t="shared" ref="A193" si="67">MAX(A190:A192)+NoOne</f>
        <v>3</v>
      </c>
      <c r="B193" s="5" t="s">
        <v>377</v>
      </c>
      <c r="C193" s="202">
        <v>1046117.9889364933</v>
      </c>
      <c r="D193" s="164">
        <v>2332949.6198429321</v>
      </c>
      <c r="E193" s="164"/>
      <c r="F193" s="164">
        <f t="shared" si="66"/>
        <v>-1286831.6309064389</v>
      </c>
      <c r="G193" s="164"/>
      <c r="H193" s="164">
        <f t="shared" si="63"/>
        <v>1046117.9889364932</v>
      </c>
      <c r="I193" s="203">
        <f t="shared" si="64"/>
        <v>0.44841002139039937</v>
      </c>
      <c r="K193" s="106" t="s">
        <v>417</v>
      </c>
    </row>
    <row r="194" spans="1:11" ht="15" x14ac:dyDescent="0.25">
      <c r="A194" s="1">
        <f t="shared" ref="A194" si="68">MAX(A191:A193)+NoOne</f>
        <v>4</v>
      </c>
      <c r="B194" s="106" t="s">
        <v>378</v>
      </c>
      <c r="C194" s="202">
        <v>0</v>
      </c>
      <c r="D194" s="164">
        <v>0</v>
      </c>
      <c r="E194" s="164"/>
      <c r="F194" s="164">
        <f t="shared" si="66"/>
        <v>0</v>
      </c>
      <c r="G194" s="164"/>
      <c r="H194" s="164">
        <f t="shared" si="63"/>
        <v>0</v>
      </c>
      <c r="I194" s="203">
        <f t="shared" si="64"/>
        <v>0</v>
      </c>
      <c r="K194" s="106" t="s">
        <v>418</v>
      </c>
    </row>
    <row r="195" spans="1:11" ht="15" x14ac:dyDescent="0.25">
      <c r="A195" s="1">
        <f t="shared" ref="A195" si="69">MAX(A192:A194)+NoOne</f>
        <v>5</v>
      </c>
      <c r="B195" s="106" t="s">
        <v>379</v>
      </c>
      <c r="C195" s="202">
        <v>354037.29560906265</v>
      </c>
      <c r="D195" s="164">
        <v>690869.19849230337</v>
      </c>
      <c r="E195" s="164"/>
      <c r="F195" s="164">
        <f t="shared" si="66"/>
        <v>-336831.90288324072</v>
      </c>
      <c r="G195" s="164"/>
      <c r="H195" s="164">
        <f t="shared" si="63"/>
        <v>354037.29560906265</v>
      </c>
      <c r="I195" s="203">
        <f t="shared" si="64"/>
        <v>0.51245199001733588</v>
      </c>
      <c r="K195" s="106" t="s">
        <v>419</v>
      </c>
    </row>
    <row r="196" spans="1:11" ht="15" x14ac:dyDescent="0.25">
      <c r="A196" s="1">
        <f t="shared" ref="A196" si="70">MAX(A193:A195)+NoOne</f>
        <v>6</v>
      </c>
      <c r="B196" s="106" t="s">
        <v>246</v>
      </c>
      <c r="C196" s="202">
        <v>65923.096800000043</v>
      </c>
      <c r="D196" s="164">
        <v>88736.764789395194</v>
      </c>
      <c r="E196" s="212"/>
      <c r="F196" s="212">
        <f t="shared" si="66"/>
        <v>-22813.667989395151</v>
      </c>
      <c r="G196" s="164"/>
      <c r="H196" s="212">
        <f t="shared" si="63"/>
        <v>65923.096800000043</v>
      </c>
      <c r="I196" s="203">
        <f t="shared" si="64"/>
        <v>0.74290624586618259</v>
      </c>
      <c r="K196" s="106" t="s">
        <v>420</v>
      </c>
    </row>
    <row r="197" spans="1:11" x14ac:dyDescent="0.2">
      <c r="C197" s="186"/>
      <c r="D197" s="186"/>
      <c r="E197" s="186"/>
      <c r="F197" s="193"/>
      <c r="H197" s="186"/>
      <c r="I197" s="204"/>
    </row>
    <row r="198" spans="1:11" ht="13.5" thickBot="1" x14ac:dyDescent="0.25">
      <c r="A198" s="1">
        <f>MAX(A195:A197)+NoOne</f>
        <v>7</v>
      </c>
      <c r="B198" s="2" t="s">
        <v>421</v>
      </c>
      <c r="C198" s="210">
        <f>SUM(C191:C196)</f>
        <v>4077136.5066004382</v>
      </c>
      <c r="D198" s="210">
        <f>SUM(D191:D196)</f>
        <v>9758495.865111161</v>
      </c>
      <c r="E198" s="210"/>
      <c r="F198" s="210">
        <f t="shared" si="66"/>
        <v>-5681359.3585107233</v>
      </c>
      <c r="G198" s="210"/>
      <c r="H198" s="213">
        <f>SUM(H191:H196)</f>
        <v>4077136.5066004382</v>
      </c>
      <c r="I198" s="211">
        <f>IF(D198&lt;&gt;0,C198/D198,0)</f>
        <v>0.41780378482068403</v>
      </c>
    </row>
    <row r="199" spans="1:11" ht="13.5" thickTop="1" x14ac:dyDescent="0.2"/>
    <row r="205" spans="1:11" x14ac:dyDescent="0.2">
      <c r="I205" s="151" t="s">
        <v>495</v>
      </c>
    </row>
    <row r="206" spans="1:11" x14ac:dyDescent="0.2">
      <c r="I206" s="151" t="s">
        <v>422</v>
      </c>
    </row>
    <row r="207" spans="1:11" x14ac:dyDescent="0.2">
      <c r="I207" s="153"/>
    </row>
    <row r="208" spans="1:11" x14ac:dyDescent="0.2">
      <c r="A208" s="154" t="str">
        <f>+A6</f>
        <v>NEWFOUNDLAND AND LABRADOR HYDRO</v>
      </c>
      <c r="B208" s="154"/>
      <c r="C208" s="154"/>
      <c r="D208" s="154"/>
      <c r="E208" s="154"/>
      <c r="F208" s="154"/>
      <c r="G208" s="154"/>
      <c r="H208" s="154"/>
      <c r="I208" s="154"/>
    </row>
    <row r="209" spans="1:18" x14ac:dyDescent="0.2">
      <c r="A209" s="154" t="str">
        <f>RunName</f>
        <v>2027 Test Year Cost of Service Study (No Rate Mitigation)</v>
      </c>
      <c r="B209" s="154"/>
      <c r="C209" s="154"/>
      <c r="D209" s="154"/>
      <c r="E209" s="154"/>
      <c r="F209" s="154"/>
      <c r="G209" s="154"/>
      <c r="H209" s="154"/>
      <c r="I209" s="154"/>
    </row>
    <row r="210" spans="1:18" x14ac:dyDescent="0.2">
      <c r="A210" s="154" t="s">
        <v>423</v>
      </c>
      <c r="B210" s="154"/>
      <c r="C210" s="154"/>
      <c r="D210" s="154"/>
      <c r="E210" s="154"/>
      <c r="F210" s="154"/>
      <c r="G210" s="154"/>
      <c r="H210" s="154"/>
      <c r="I210" s="154"/>
    </row>
    <row r="211" spans="1:18" x14ac:dyDescent="0.2">
      <c r="A211" s="154" t="s">
        <v>329</v>
      </c>
      <c r="B211" s="154"/>
      <c r="C211" s="154"/>
      <c r="D211" s="154"/>
      <c r="E211" s="154"/>
      <c r="F211" s="154"/>
      <c r="G211" s="154"/>
      <c r="H211" s="154"/>
      <c r="I211" s="154"/>
    </row>
    <row r="212" spans="1:18" x14ac:dyDescent="0.2">
      <c r="B212" s="1">
        <f t="shared" ref="B212:I212" si="71">MAX(A212)+NoOne</f>
        <v>1</v>
      </c>
      <c r="C212" s="1">
        <f t="shared" si="71"/>
        <v>2</v>
      </c>
      <c r="D212" s="1">
        <f t="shared" si="71"/>
        <v>3</v>
      </c>
      <c r="E212" s="1">
        <f t="shared" si="71"/>
        <v>4</v>
      </c>
      <c r="F212" s="1">
        <f t="shared" si="71"/>
        <v>5</v>
      </c>
      <c r="G212" s="1">
        <f t="shared" si="71"/>
        <v>6</v>
      </c>
      <c r="H212" s="1">
        <f>MAX(F212)+NoOne</f>
        <v>6</v>
      </c>
      <c r="I212" s="1">
        <f t="shared" si="71"/>
        <v>7</v>
      </c>
    </row>
    <row r="213" spans="1:18" x14ac:dyDescent="0.2">
      <c r="G213" s="1"/>
      <c r="H213" s="1"/>
      <c r="I213" s="1"/>
    </row>
    <row r="214" spans="1:18" x14ac:dyDescent="0.2">
      <c r="B214" s="1"/>
      <c r="C214" s="1"/>
      <c r="D214" s="156" t="s">
        <v>332</v>
      </c>
      <c r="E214" s="1"/>
      <c r="F214" s="1"/>
      <c r="H214" s="156" t="s">
        <v>333</v>
      </c>
      <c r="I214" s="1" t="s">
        <v>277</v>
      </c>
    </row>
    <row r="215" spans="1:18" x14ac:dyDescent="0.2">
      <c r="A215" s="1" t="s">
        <v>14</v>
      </c>
      <c r="B215" s="1"/>
      <c r="C215" s="1"/>
      <c r="D215" s="1" t="s">
        <v>335</v>
      </c>
      <c r="E215" s="1" t="s">
        <v>277</v>
      </c>
      <c r="F215" s="1" t="s">
        <v>346</v>
      </c>
      <c r="G215" s="156" t="s">
        <v>336</v>
      </c>
      <c r="H215" s="156" t="s">
        <v>337</v>
      </c>
      <c r="I215" s="1" t="s">
        <v>338</v>
      </c>
    </row>
    <row r="216" spans="1:18" x14ac:dyDescent="0.2">
      <c r="A216" s="1" t="s">
        <v>30</v>
      </c>
      <c r="B216" s="1" t="s">
        <v>342</v>
      </c>
      <c r="C216" s="1" t="s">
        <v>343</v>
      </c>
      <c r="D216" s="1" t="s">
        <v>344</v>
      </c>
      <c r="E216" s="1" t="s">
        <v>373</v>
      </c>
      <c r="F216" s="1" t="s">
        <v>374</v>
      </c>
      <c r="G216" s="1" t="s">
        <v>347</v>
      </c>
      <c r="H216" s="1" t="s">
        <v>344</v>
      </c>
      <c r="I216" s="1" t="s">
        <v>348</v>
      </c>
      <c r="R216" s="1"/>
    </row>
    <row r="217" spans="1:18" ht="15" x14ac:dyDescent="0.25">
      <c r="B217" s="1"/>
      <c r="C217" s="214"/>
      <c r="D217" s="214"/>
      <c r="E217" s="214"/>
      <c r="F217" s="214"/>
      <c r="H217" s="161" t="s">
        <v>352</v>
      </c>
      <c r="I217" s="12" t="s">
        <v>353</v>
      </c>
    </row>
    <row r="218" spans="1:18" ht="15" x14ac:dyDescent="0.25">
      <c r="B218" s="1"/>
      <c r="C218" s="214" t="s">
        <v>37</v>
      </c>
      <c r="D218" s="214" t="s">
        <v>37</v>
      </c>
      <c r="E218" s="214" t="s">
        <v>37</v>
      </c>
      <c r="F218" s="214" t="s">
        <v>37</v>
      </c>
      <c r="G218" s="1" t="s">
        <v>37</v>
      </c>
      <c r="H218" s="1" t="s">
        <v>37</v>
      </c>
      <c r="I218" s="1"/>
    </row>
    <row r="219" spans="1:18" ht="15" x14ac:dyDescent="0.25">
      <c r="B219" s="2" t="s">
        <v>423</v>
      </c>
      <c r="C219" s="203"/>
      <c r="D219" s="203"/>
      <c r="E219" s="203"/>
      <c r="F219" s="203"/>
      <c r="H219" s="203"/>
    </row>
    <row r="220" spans="1:18" ht="15" x14ac:dyDescent="0.25">
      <c r="A220" s="1">
        <f>MAX(A218:A219)+NoOne</f>
        <v>1</v>
      </c>
      <c r="B220" s="5" t="s">
        <v>424</v>
      </c>
      <c r="C220" s="215">
        <v>9171997.7694181111</v>
      </c>
      <c r="D220" s="164">
        <v>9172199.8960632775</v>
      </c>
      <c r="E220" s="164"/>
      <c r="F220" s="170">
        <f>$F$27*(D220/SUM($D$220:$D$221))</f>
        <v>0</v>
      </c>
      <c r="G220" s="164"/>
      <c r="H220" s="164">
        <f>SUM(D220:F220)</f>
        <v>9172199.8960632775</v>
      </c>
      <c r="I220" s="203">
        <f t="shared" ref="I220:I221" si="72">IF(H220&lt;&gt;0,C220/H220,0)</f>
        <v>0.99997796312253806</v>
      </c>
      <c r="J220" s="163"/>
      <c r="K220" s="163"/>
      <c r="L220" s="163"/>
    </row>
    <row r="221" spans="1:18" ht="15" x14ac:dyDescent="0.25">
      <c r="A221" s="1">
        <f>MAX(A219:A220)+NoOne</f>
        <v>2</v>
      </c>
      <c r="B221" s="5" t="s">
        <v>425</v>
      </c>
      <c r="C221" s="170">
        <f>+D221</f>
        <v>0</v>
      </c>
      <c r="D221" s="164">
        <v>0</v>
      </c>
      <c r="E221" s="164"/>
      <c r="F221" s="170">
        <f>$F$27*(D221/SUM($D$220:$D$221))</f>
        <v>0</v>
      </c>
      <c r="G221" s="164"/>
      <c r="H221" s="164">
        <f>SUM(D221:F221)</f>
        <v>0</v>
      </c>
      <c r="I221" s="203">
        <f t="shared" si="72"/>
        <v>0</v>
      </c>
    </row>
    <row r="222" spans="1:18" ht="15" x14ac:dyDescent="0.25">
      <c r="B222" s="5"/>
      <c r="C222" s="170"/>
      <c r="D222" s="164"/>
      <c r="E222" s="164"/>
      <c r="F222" s="170"/>
      <c r="H222" s="164"/>
      <c r="I222" s="204"/>
    </row>
    <row r="223" spans="1:18" x14ac:dyDescent="0.2">
      <c r="A223" s="1">
        <f>MAX(A220:A222)+NoOne</f>
        <v>3</v>
      </c>
      <c r="B223" s="2" t="s">
        <v>300</v>
      </c>
      <c r="C223" s="181">
        <f>+C220+C221+C222</f>
        <v>9171997.7694181111</v>
      </c>
      <c r="D223" s="181">
        <f>+D220+D221+D222</f>
        <v>9172199.8960632775</v>
      </c>
      <c r="E223" s="181">
        <f>+E220+E221+E222</f>
        <v>0</v>
      </c>
      <c r="F223" s="181">
        <f>+F220+F221</f>
        <v>0</v>
      </c>
      <c r="G223" s="181"/>
      <c r="H223" s="181">
        <f>+H220+H221+H222</f>
        <v>9172199.8960632775</v>
      </c>
      <c r="I223" s="182"/>
    </row>
    <row r="224" spans="1:18" ht="15" x14ac:dyDescent="0.25">
      <c r="C224" s="170"/>
      <c r="D224" s="164"/>
      <c r="E224" s="164"/>
      <c r="F224" s="170"/>
      <c r="H224" s="164"/>
      <c r="I224" s="204"/>
    </row>
    <row r="225" spans="1:14" ht="15" x14ac:dyDescent="0.25">
      <c r="A225" s="1">
        <f>MAX(A222:A224)+NoOne</f>
        <v>4</v>
      </c>
      <c r="B225" s="5" t="s">
        <v>362</v>
      </c>
      <c r="C225" s="216">
        <v>0</v>
      </c>
      <c r="D225" s="178">
        <v>0</v>
      </c>
      <c r="E225" s="178">
        <f>+E246</f>
        <v>0</v>
      </c>
      <c r="F225" s="178">
        <v>0</v>
      </c>
      <c r="H225" s="178">
        <f>SUM(D225:F225)</f>
        <v>0</v>
      </c>
      <c r="I225" s="203">
        <f>IF(H225&lt;&gt;0,C225/H225,0)</f>
        <v>0</v>
      </c>
    </row>
    <row r="226" spans="1:14" ht="15" x14ac:dyDescent="0.25">
      <c r="C226" s="217"/>
      <c r="D226" s="164"/>
      <c r="E226" s="164"/>
      <c r="F226" s="170"/>
      <c r="H226" s="164"/>
      <c r="I226" s="204"/>
    </row>
    <row r="227" spans="1:14" ht="15" x14ac:dyDescent="0.25">
      <c r="B227" s="2" t="s">
        <v>230</v>
      </c>
      <c r="C227" s="164"/>
      <c r="D227" s="164"/>
      <c r="E227" s="164"/>
      <c r="F227" s="170"/>
      <c r="H227" s="164"/>
    </row>
    <row r="228" spans="1:14" ht="15" x14ac:dyDescent="0.25">
      <c r="A228" s="1">
        <f t="shared" ref="A228" si="73">MAX(A225:A227)+NoOne</f>
        <v>5</v>
      </c>
      <c r="B228" s="106" t="s">
        <v>426</v>
      </c>
      <c r="C228" s="202">
        <v>104600.66929263835</v>
      </c>
      <c r="D228" s="164">
        <v>206447.62225798349</v>
      </c>
      <c r="E228" s="164">
        <f t="shared" ref="E228:E234" si="74">-$E$249*(D228/$D$236)</f>
        <v>0</v>
      </c>
      <c r="F228" s="183">
        <f t="shared" ref="F228:F234" si="75">(D228/$D$236)*$F$29</f>
        <v>19464.13877616106</v>
      </c>
      <c r="H228" s="164">
        <f t="shared" ref="H228:H234" si="76">SUM(D228:F228)</f>
        <v>225911.76103414455</v>
      </c>
      <c r="I228" s="203">
        <f>IF(H228&lt;&gt;0,C228/H228,0)</f>
        <v>0.46301559871789449</v>
      </c>
      <c r="K228" s="166" t="s">
        <v>427</v>
      </c>
      <c r="L228" s="166"/>
      <c r="M228" s="166"/>
    </row>
    <row r="229" spans="1:14" ht="15" x14ac:dyDescent="0.25">
      <c r="A229" s="1">
        <f t="shared" ref="A229" si="77">MAX(A226:A228)+NoOne</f>
        <v>6</v>
      </c>
      <c r="B229" s="106" t="s">
        <v>428</v>
      </c>
      <c r="C229" s="202">
        <v>11621731.657853549</v>
      </c>
      <c r="D229" s="164">
        <v>12172687.442218101</v>
      </c>
      <c r="E229" s="164">
        <f t="shared" si="74"/>
        <v>0</v>
      </c>
      <c r="F229" s="170">
        <f t="shared" si="75"/>
        <v>1147656.1224720227</v>
      </c>
      <c r="H229" s="164">
        <f t="shared" si="76"/>
        <v>13320343.564690124</v>
      </c>
      <c r="I229" s="203">
        <f t="shared" ref="I229:I234" si="78">IF(H229&lt;&gt;0,C229/H229,0)</f>
        <v>0.87247987271594896</v>
      </c>
      <c r="K229" s="166" t="s">
        <v>429</v>
      </c>
      <c r="L229" s="166"/>
      <c r="M229" s="166"/>
    </row>
    <row r="230" spans="1:14" ht="15" x14ac:dyDescent="0.25">
      <c r="A230" s="1">
        <f t="shared" ref="A230" si="79">MAX(A227:A229)+NoOne</f>
        <v>7</v>
      </c>
      <c r="B230" s="106" t="s">
        <v>390</v>
      </c>
      <c r="C230" s="202">
        <v>297862.23854982306</v>
      </c>
      <c r="D230" s="164">
        <v>302668.04169709131</v>
      </c>
      <c r="E230" s="164">
        <f t="shared" si="74"/>
        <v>0</v>
      </c>
      <c r="F230" s="170">
        <f t="shared" si="75"/>
        <v>28535.919679129514</v>
      </c>
      <c r="H230" s="164">
        <f t="shared" si="76"/>
        <v>331203.9613762208</v>
      </c>
      <c r="I230" s="203">
        <f t="shared" si="78"/>
        <v>0.89933175108215491</v>
      </c>
      <c r="K230" s="166" t="s">
        <v>430</v>
      </c>
      <c r="L230" s="166"/>
      <c r="M230" s="166"/>
      <c r="N230" s="166"/>
    </row>
    <row r="231" spans="1:14" ht="15" x14ac:dyDescent="0.25">
      <c r="A231" s="1">
        <f t="shared" ref="A231" si="80">MAX(A228:A230)+NoOne</f>
        <v>8</v>
      </c>
      <c r="B231" s="106" t="s">
        <v>378</v>
      </c>
      <c r="C231" s="202">
        <v>2454187.9387333281</v>
      </c>
      <c r="D231" s="164">
        <v>1963428.7597446749</v>
      </c>
      <c r="E231" s="164">
        <f t="shared" si="74"/>
        <v>0</v>
      </c>
      <c r="F231" s="170">
        <f t="shared" si="75"/>
        <v>185114.50719940799</v>
      </c>
      <c r="H231" s="164">
        <f t="shared" si="76"/>
        <v>2148543.2669440829</v>
      </c>
      <c r="I231" s="203">
        <f t="shared" si="78"/>
        <v>1.142256698522981</v>
      </c>
      <c r="K231" s="166" t="s">
        <v>431</v>
      </c>
      <c r="L231" s="166"/>
      <c r="M231" s="166"/>
    </row>
    <row r="232" spans="1:14" ht="15" x14ac:dyDescent="0.25">
      <c r="A232" s="1">
        <f t="shared" ref="A232" si="81">MAX(A229:A231)+NoOne</f>
        <v>9</v>
      </c>
      <c r="B232" s="106" t="s">
        <v>379</v>
      </c>
      <c r="C232" s="202">
        <v>4196071.8853856707</v>
      </c>
      <c r="D232" s="164">
        <v>2864081.8364553126</v>
      </c>
      <c r="E232" s="164">
        <f t="shared" si="74"/>
        <v>0</v>
      </c>
      <c r="F232" s="170">
        <f t="shared" si="75"/>
        <v>270029.20024617843</v>
      </c>
      <c r="H232" s="164">
        <f t="shared" si="76"/>
        <v>3134111.0367014911</v>
      </c>
      <c r="I232" s="203">
        <f t="shared" si="78"/>
        <v>1.3388395740445256</v>
      </c>
      <c r="K232" s="166" t="s">
        <v>432</v>
      </c>
      <c r="L232" s="166"/>
      <c r="M232" s="166"/>
    </row>
    <row r="233" spans="1:14" ht="15" x14ac:dyDescent="0.25">
      <c r="A233" s="1">
        <f t="shared" ref="A233" si="82">MAX(A230:A232)+NoOne</f>
        <v>10</v>
      </c>
      <c r="B233" s="106" t="s">
        <v>380</v>
      </c>
      <c r="C233" s="202">
        <v>2863985.6473577758</v>
      </c>
      <c r="D233" s="164">
        <v>2090121.3207885535</v>
      </c>
      <c r="E233" s="164">
        <f t="shared" si="74"/>
        <v>0</v>
      </c>
      <c r="F233" s="170">
        <f t="shared" si="75"/>
        <v>197059.23953923493</v>
      </c>
      <c r="H233" s="164">
        <f t="shared" si="76"/>
        <v>2287180.5603277883</v>
      </c>
      <c r="I233" s="203">
        <f t="shared" si="78"/>
        <v>1.2521904466288933</v>
      </c>
      <c r="K233" s="166" t="s">
        <v>433</v>
      </c>
      <c r="L233" s="166"/>
      <c r="M233" s="166"/>
    </row>
    <row r="234" spans="1:14" ht="15" x14ac:dyDescent="0.25">
      <c r="A234" s="1">
        <f t="shared" ref="A234" si="83">MAX(A231:A233)+NoOne</f>
        <v>11</v>
      </c>
      <c r="B234" s="106" t="s">
        <v>246</v>
      </c>
      <c r="C234" s="202">
        <v>392808</v>
      </c>
      <c r="D234" s="164">
        <v>439584.88334692374</v>
      </c>
      <c r="E234" s="164">
        <f t="shared" si="74"/>
        <v>0</v>
      </c>
      <c r="F234" s="170">
        <f t="shared" si="75"/>
        <v>41444.609919871444</v>
      </c>
      <c r="H234" s="164">
        <f t="shared" si="76"/>
        <v>481029.49326679518</v>
      </c>
      <c r="I234" s="203">
        <f t="shared" si="78"/>
        <v>0.8165985776305309</v>
      </c>
      <c r="K234" s="166" t="s">
        <v>434</v>
      </c>
      <c r="L234" s="166"/>
      <c r="M234" s="166"/>
    </row>
    <row r="235" spans="1:14" ht="15" x14ac:dyDescent="0.25">
      <c r="C235" s="212"/>
      <c r="D235" s="212"/>
      <c r="E235" s="212"/>
      <c r="F235" s="178"/>
      <c r="H235" s="212"/>
      <c r="I235" s="204"/>
      <c r="M235" s="204"/>
    </row>
    <row r="236" spans="1:14" x14ac:dyDescent="0.2">
      <c r="A236" s="1">
        <f>MAX(A233:A235)+NoOne</f>
        <v>12</v>
      </c>
      <c r="B236" s="2" t="s">
        <v>381</v>
      </c>
      <c r="C236" s="181">
        <f>SUM(C228:C234)</f>
        <v>21931248.037172787</v>
      </c>
      <c r="D236" s="181">
        <f>SUM(D228:D234)</f>
        <v>20039019.906508639</v>
      </c>
      <c r="E236" s="181">
        <f>SUM(E228:E234)</f>
        <v>0</v>
      </c>
      <c r="F236" s="181">
        <f>SUM(F228:F234)</f>
        <v>1889303.7378320058</v>
      </c>
      <c r="G236" s="181"/>
      <c r="H236" s="181">
        <f>SUM(D236:F236)</f>
        <v>21928323.644340646</v>
      </c>
      <c r="I236" s="182"/>
      <c r="M236" s="204"/>
    </row>
    <row r="237" spans="1:14" ht="13.5" thickBot="1" x14ac:dyDescent="0.25">
      <c r="A237" s="1">
        <f>MAX(A234:A236)+NoOne</f>
        <v>13</v>
      </c>
      <c r="B237" s="2" t="s">
        <v>435</v>
      </c>
      <c r="C237" s="184">
        <f>+C236+C225+C223</f>
        <v>31103245.8065909</v>
      </c>
      <c r="D237" s="184">
        <f>+D236+D225+D223</f>
        <v>29211219.802571915</v>
      </c>
      <c r="E237" s="184">
        <f>+E236+E225+E223</f>
        <v>0</v>
      </c>
      <c r="F237" s="184">
        <f>+F236+F225+F223</f>
        <v>1889303.7378320058</v>
      </c>
      <c r="G237" s="184"/>
      <c r="H237" s="184">
        <f>SUM(D237:F237)</f>
        <v>31100523.540403921</v>
      </c>
      <c r="I237" s="185"/>
    </row>
    <row r="238" spans="1:14" ht="13.5" thickTop="1" x14ac:dyDescent="0.2"/>
    <row r="239" spans="1:14" x14ac:dyDescent="0.2">
      <c r="B239" s="5" t="s">
        <v>436</v>
      </c>
    </row>
    <row r="240" spans="1:14" x14ac:dyDescent="0.2">
      <c r="B240" s="5" t="s">
        <v>437</v>
      </c>
      <c r="C240" s="163"/>
      <c r="D240" s="163"/>
      <c r="E240" s="163"/>
      <c r="F240" s="163"/>
      <c r="G240" s="163"/>
    </row>
    <row r="241" spans="1:18" x14ac:dyDescent="0.2">
      <c r="C241" s="163"/>
      <c r="D241" s="163"/>
      <c r="E241" s="163"/>
      <c r="F241" s="163"/>
      <c r="G241" s="163"/>
    </row>
    <row r="242" spans="1:18" x14ac:dyDescent="0.2">
      <c r="B242" s="173" t="s">
        <v>438</v>
      </c>
      <c r="C242" s="163"/>
      <c r="D242" s="163"/>
      <c r="E242" s="163"/>
      <c r="F242" s="163"/>
      <c r="G242" s="163"/>
    </row>
    <row r="243" spans="1:18" x14ac:dyDescent="0.2">
      <c r="B243" s="191" t="s">
        <v>439</v>
      </c>
      <c r="C243" s="163"/>
      <c r="E243" s="163">
        <f>+C225</f>
        <v>0</v>
      </c>
      <c r="F243" s="163"/>
      <c r="G243" s="163"/>
    </row>
    <row r="244" spans="1:18" x14ac:dyDescent="0.2">
      <c r="B244" s="191" t="s">
        <v>440</v>
      </c>
      <c r="C244" s="163"/>
      <c r="E244" s="163">
        <f>-D225</f>
        <v>0</v>
      </c>
      <c r="F244" s="163"/>
      <c r="G244" s="163"/>
      <c r="R244" s="1"/>
    </row>
    <row r="245" spans="1:18" x14ac:dyDescent="0.2">
      <c r="B245" s="191" t="s">
        <v>441</v>
      </c>
      <c r="C245" s="163"/>
      <c r="E245" s="163">
        <v>0</v>
      </c>
      <c r="F245" s="163"/>
      <c r="G245" s="163"/>
    </row>
    <row r="246" spans="1:18" ht="13.5" thickBot="1" x14ac:dyDescent="0.25">
      <c r="B246" s="207" t="s">
        <v>442</v>
      </c>
      <c r="E246" s="218">
        <f>SUM(E243:E245)</f>
        <v>0</v>
      </c>
    </row>
    <row r="247" spans="1:18" ht="13.5" thickTop="1" x14ac:dyDescent="0.2">
      <c r="B247" s="207"/>
      <c r="E247" s="163"/>
    </row>
    <row r="248" spans="1:18" x14ac:dyDescent="0.2">
      <c r="B248" s="207" t="s">
        <v>443</v>
      </c>
      <c r="D248" s="219">
        <f>+[1]RunOptions!B18</f>
        <v>1</v>
      </c>
      <c r="E248" s="163">
        <f>+E246*D248</f>
        <v>0</v>
      </c>
    </row>
    <row r="249" spans="1:18" x14ac:dyDescent="0.2">
      <c r="B249" s="207" t="s">
        <v>444</v>
      </c>
      <c r="E249" s="163">
        <f>+E246-E248</f>
        <v>0</v>
      </c>
    </row>
    <row r="250" spans="1:18" ht="13.5" thickBot="1" x14ac:dyDescent="0.25">
      <c r="B250" s="207"/>
      <c r="E250" s="218">
        <f>SUM(E248:E249)</f>
        <v>0</v>
      </c>
    </row>
    <row r="251" spans="1:18" ht="13.5" thickTop="1" x14ac:dyDescent="0.2">
      <c r="H251" s="220" t="s">
        <v>498</v>
      </c>
    </row>
    <row r="252" spans="1:18" x14ac:dyDescent="0.2">
      <c r="G252" s="220"/>
      <c r="H252" s="220" t="s">
        <v>3</v>
      </c>
    </row>
    <row r="253" spans="1:18" x14ac:dyDescent="0.2">
      <c r="G253" s="220"/>
    </row>
    <row r="255" spans="1:18" x14ac:dyDescent="0.2">
      <c r="A255" s="154" t="str">
        <f>+A6</f>
        <v>NEWFOUNDLAND AND LABRADOR HYDRO</v>
      </c>
      <c r="B255" s="154"/>
      <c r="C255" s="154"/>
      <c r="D255" s="154"/>
      <c r="E255" s="154"/>
      <c r="F255" s="154"/>
      <c r="G255" s="154"/>
      <c r="H255" s="154"/>
    </row>
    <row r="256" spans="1:18" x14ac:dyDescent="0.2">
      <c r="A256" s="154" t="str">
        <f>RunName</f>
        <v>2027 Test Year Cost of Service Study (No Rate Mitigation)</v>
      </c>
      <c r="B256" s="154"/>
      <c r="C256" s="154"/>
      <c r="D256" s="154"/>
      <c r="E256" s="154"/>
      <c r="F256" s="154"/>
      <c r="G256" s="154"/>
      <c r="H256" s="154"/>
    </row>
    <row r="257" spans="1:18" x14ac:dyDescent="0.2">
      <c r="A257" s="154" t="s">
        <v>328</v>
      </c>
      <c r="B257" s="154"/>
      <c r="C257" s="154"/>
      <c r="D257" s="154"/>
      <c r="E257" s="154"/>
      <c r="F257" s="154"/>
      <c r="G257" s="154"/>
      <c r="H257" s="154"/>
    </row>
    <row r="258" spans="1:18" x14ac:dyDescent="0.2">
      <c r="A258" s="154" t="s">
        <v>446</v>
      </c>
      <c r="B258" s="154"/>
      <c r="C258" s="154"/>
      <c r="D258" s="154"/>
      <c r="E258" s="154"/>
      <c r="F258" s="154"/>
      <c r="G258" s="154"/>
      <c r="H258" s="154"/>
    </row>
    <row r="259" spans="1:18" x14ac:dyDescent="0.2">
      <c r="B259" s="192"/>
      <c r="C259" s="192"/>
      <c r="D259" s="192"/>
      <c r="E259" s="192"/>
      <c r="F259" s="192"/>
      <c r="G259" s="192"/>
    </row>
    <row r="260" spans="1:18" s="1" customFormat="1" x14ac:dyDescent="0.2">
      <c r="B260" s="1">
        <f t="shared" ref="B260:C260" si="84">MAX(A260)+NoOne</f>
        <v>1</v>
      </c>
      <c r="C260" s="1">
        <f t="shared" si="84"/>
        <v>2</v>
      </c>
      <c r="F260" s="1">
        <f>MAX(C260)+NoOne</f>
        <v>3</v>
      </c>
      <c r="H260" s="1">
        <f>MAX(F260)+NoOne</f>
        <v>4</v>
      </c>
      <c r="I260" s="1">
        <f>MAX(H260)+NoOne</f>
        <v>5</v>
      </c>
      <c r="J260" s="1">
        <f>MAX(I260)+NoOne</f>
        <v>6</v>
      </c>
    </row>
    <row r="261" spans="1:18" s="1" customFormat="1" x14ac:dyDescent="0.2"/>
    <row r="262" spans="1:18" s="1" customFormat="1" ht="38.25" x14ac:dyDescent="0.2">
      <c r="C262" s="221" t="s">
        <v>447</v>
      </c>
      <c r="F262" s="222"/>
      <c r="H262" s="222"/>
      <c r="I262" s="222"/>
    </row>
    <row r="263" spans="1:18" x14ac:dyDescent="0.2">
      <c r="A263" s="1" t="s">
        <v>14</v>
      </c>
      <c r="B263" s="1"/>
      <c r="C263" s="1" t="s">
        <v>448</v>
      </c>
      <c r="D263" s="12" t="s">
        <v>449</v>
      </c>
      <c r="E263" s="1" t="s">
        <v>594</v>
      </c>
      <c r="F263" s="1"/>
      <c r="H263" s="1"/>
      <c r="I263" s="1"/>
      <c r="J263" s="1"/>
    </row>
    <row r="264" spans="1:18" x14ac:dyDescent="0.2">
      <c r="A264" s="1" t="s">
        <v>30</v>
      </c>
      <c r="B264" s="1" t="s">
        <v>342</v>
      </c>
      <c r="C264" s="1" t="s">
        <v>450</v>
      </c>
      <c r="D264" s="1" t="s">
        <v>451</v>
      </c>
      <c r="E264" s="1" t="s">
        <v>450</v>
      </c>
      <c r="F264" s="1" t="s">
        <v>33</v>
      </c>
      <c r="H264" s="1" t="s">
        <v>34</v>
      </c>
      <c r="I264" s="1" t="s">
        <v>35</v>
      </c>
      <c r="J264" s="1" t="s">
        <v>452</v>
      </c>
    </row>
    <row r="265" spans="1:18" x14ac:dyDescent="0.2">
      <c r="B265" s="1"/>
      <c r="C265" s="1" t="s">
        <v>37</v>
      </c>
      <c r="D265" s="1" t="s">
        <v>37</v>
      </c>
      <c r="E265" s="1" t="s">
        <v>37</v>
      </c>
      <c r="F265" s="1" t="s">
        <v>37</v>
      </c>
      <c r="H265" s="1" t="s">
        <v>37</v>
      </c>
      <c r="I265" s="1" t="s">
        <v>37</v>
      </c>
      <c r="J265" s="1"/>
    </row>
    <row r="266" spans="1:18" x14ac:dyDescent="0.2">
      <c r="B266" s="1"/>
      <c r="C266" s="1"/>
      <c r="F266" s="1"/>
      <c r="H266" s="1"/>
      <c r="I266" s="1"/>
      <c r="J266" s="1"/>
    </row>
    <row r="267" spans="1:18" x14ac:dyDescent="0.2">
      <c r="B267" s="169" t="s">
        <v>453</v>
      </c>
      <c r="C267" s="1"/>
      <c r="F267" s="1"/>
      <c r="H267" s="1"/>
      <c r="I267" s="1"/>
      <c r="J267" s="1"/>
    </row>
    <row r="268" spans="1:18" ht="15" x14ac:dyDescent="0.25">
      <c r="A268" s="1">
        <f>MAX(A265:A267)+NoOne</f>
        <v>1</v>
      </c>
      <c r="B268" s="173" t="s">
        <v>454</v>
      </c>
      <c r="C268" s="163">
        <f>SUM(F268:I268)</f>
        <v>1009624140.6639924</v>
      </c>
      <c r="D268" s="163"/>
      <c r="E268" s="163">
        <f>SUM(C268:D268)</f>
        <v>1009624140.6639924</v>
      </c>
      <c r="F268" s="164">
        <v>565424999.57423449</v>
      </c>
      <c r="H268" s="164">
        <v>441457478.85347712</v>
      </c>
      <c r="I268" s="164">
        <v>2741662.2362807542</v>
      </c>
      <c r="J268" s="106" t="s">
        <v>499</v>
      </c>
    </row>
    <row r="269" spans="1:18" ht="15" x14ac:dyDescent="0.25">
      <c r="A269" s="1">
        <f>MAX(A266:A268)+NoOne</f>
        <v>2</v>
      </c>
      <c r="B269" s="106" t="s">
        <v>456</v>
      </c>
      <c r="C269" s="163">
        <f>SUM(F269:I269)</f>
        <v>20039019.906508639</v>
      </c>
      <c r="D269" s="163"/>
      <c r="E269" s="163">
        <f>SUM(C269:D269)</f>
        <v>20039019.906508639</v>
      </c>
      <c r="F269" s="163">
        <v>12775025.529698385</v>
      </c>
      <c r="H269" s="164">
        <v>1088077.3977040008</v>
      </c>
      <c r="I269" s="164">
        <v>6175916.9791062539</v>
      </c>
      <c r="J269" s="173" t="s">
        <v>500</v>
      </c>
    </row>
    <row r="270" spans="1:18" x14ac:dyDescent="0.2">
      <c r="C270" s="163"/>
      <c r="D270" s="163"/>
      <c r="E270" s="163"/>
      <c r="F270" s="163"/>
      <c r="H270" s="163"/>
      <c r="I270" s="163"/>
    </row>
    <row r="271" spans="1:18" ht="13.5" thickBot="1" x14ac:dyDescent="0.25">
      <c r="A271" s="1">
        <f>MAX(A268:A270)+NoOne</f>
        <v>3</v>
      </c>
      <c r="B271" s="2" t="s">
        <v>301</v>
      </c>
      <c r="C271" s="223">
        <f>SUM(C268:C269)</f>
        <v>1029663160.5705011</v>
      </c>
      <c r="D271" s="223"/>
      <c r="E271" s="223">
        <f t="shared" ref="E271" si="85">SUM(E268:E269)</f>
        <v>1029663160.5705011</v>
      </c>
      <c r="F271" s="223">
        <f>SUM(F268:F269)</f>
        <v>578200025.10393286</v>
      </c>
      <c r="H271" s="223">
        <f>SUM(H268:H269)</f>
        <v>442545556.25118113</v>
      </c>
      <c r="I271" s="223">
        <f>SUM(I268:I269)</f>
        <v>8917579.2153870091</v>
      </c>
    </row>
    <row r="272" spans="1:18" ht="15.75" thickTop="1" x14ac:dyDescent="0.25">
      <c r="A272" s="154"/>
      <c r="H272" s="164"/>
      <c r="I272" s="164"/>
      <c r="R272" s="1"/>
    </row>
    <row r="273" spans="1:10" ht="15" x14ac:dyDescent="0.25">
      <c r="A273" s="1">
        <f>MAX(A270:A272)+NoOne</f>
        <v>4</v>
      </c>
      <c r="B273" s="106" t="s">
        <v>458</v>
      </c>
      <c r="C273" s="163">
        <f>-1*F38</f>
        <v>97077924.322133109</v>
      </c>
      <c r="D273" s="163">
        <v>0</v>
      </c>
      <c r="E273" s="163">
        <f>SUM(C273:D273)</f>
        <v>97077924.322133109</v>
      </c>
      <c r="F273" s="163">
        <f>E273-SUM(H273:I273)</f>
        <v>54513418.008463174</v>
      </c>
      <c r="H273" s="164">
        <f>H$271/$C$271*$E$273</f>
        <v>41723745.846209571</v>
      </c>
      <c r="I273" s="164">
        <f>I$271/$C$271*$E$273</f>
        <v>840760.46746036096</v>
      </c>
      <c r="J273" s="209" t="s">
        <v>459</v>
      </c>
    </row>
    <row r="275" spans="1:10" x14ac:dyDescent="0.2">
      <c r="D275" s="152"/>
      <c r="E275" s="152"/>
      <c r="F275" s="152"/>
    </row>
    <row r="276" spans="1:10" x14ac:dyDescent="0.2">
      <c r="B276" s="5" t="s">
        <v>460</v>
      </c>
    </row>
    <row r="277" spans="1:10" x14ac:dyDescent="0.2">
      <c r="B277" s="173"/>
      <c r="D277" s="186"/>
      <c r="E277" s="186"/>
      <c r="F277" s="186"/>
      <c r="G277" s="207"/>
    </row>
    <row r="278" spans="1:10" x14ac:dyDescent="0.2">
      <c r="B278" s="2"/>
      <c r="C278" s="2"/>
      <c r="D278" s="224"/>
      <c r="E278" s="224"/>
      <c r="F278" s="224"/>
    </row>
    <row r="281" spans="1:10" x14ac:dyDescent="0.2">
      <c r="D281" s="186"/>
      <c r="E281" s="186"/>
      <c r="F281" s="186"/>
      <c r="G281" s="207"/>
    </row>
    <row r="282" spans="1:10" x14ac:dyDescent="0.2">
      <c r="B282" s="2"/>
      <c r="C282" s="2"/>
      <c r="D282" s="224"/>
      <c r="E282" s="224"/>
      <c r="F282" s="224"/>
    </row>
    <row r="283" spans="1:10" x14ac:dyDescent="0.2">
      <c r="B283" s="2"/>
      <c r="C283" s="2"/>
      <c r="D283" s="224"/>
      <c r="E283" s="224"/>
      <c r="F283" s="224"/>
    </row>
    <row r="285" spans="1:10" ht="15" x14ac:dyDescent="0.25">
      <c r="D285" s="225"/>
      <c r="E285" s="225"/>
      <c r="F285" s="225"/>
      <c r="G285" s="173"/>
    </row>
    <row r="286" spans="1:10" x14ac:dyDescent="0.2">
      <c r="D286" s="151"/>
      <c r="E286" s="151"/>
      <c r="F286" s="151"/>
    </row>
    <row r="288" spans="1:10" x14ac:dyDescent="0.2">
      <c r="B288" s="106" t="s">
        <v>461</v>
      </c>
    </row>
    <row r="289" spans="1:18" x14ac:dyDescent="0.2">
      <c r="B289" s="106" t="s">
        <v>462</v>
      </c>
    </row>
    <row r="291" spans="1:18" x14ac:dyDescent="0.2">
      <c r="B291" s="106" t="s">
        <v>463</v>
      </c>
    </row>
    <row r="292" spans="1:18" ht="15" x14ac:dyDescent="0.25">
      <c r="B292" s="106" t="s">
        <v>464</v>
      </c>
      <c r="D292" s="226">
        <v>534.20751031450493</v>
      </c>
      <c r="E292" s="106" t="s">
        <v>39</v>
      </c>
    </row>
    <row r="293" spans="1:18" ht="15" x14ac:dyDescent="0.25">
      <c r="B293" s="106" t="s">
        <v>465</v>
      </c>
      <c r="D293" s="226">
        <v>507.34482936963519</v>
      </c>
    </row>
    <row r="294" spans="1:18" x14ac:dyDescent="0.2">
      <c r="H294" s="220" t="s">
        <v>498</v>
      </c>
    </row>
    <row r="295" spans="1:18" x14ac:dyDescent="0.2">
      <c r="G295" s="220"/>
      <c r="H295" s="227" t="s">
        <v>110</v>
      </c>
    </row>
    <row r="296" spans="1:18" x14ac:dyDescent="0.2">
      <c r="G296" s="220"/>
    </row>
    <row r="298" spans="1:18" x14ac:dyDescent="0.2">
      <c r="A298" s="154" t="str">
        <f>+A6</f>
        <v>NEWFOUNDLAND AND LABRADOR HYDRO</v>
      </c>
      <c r="B298" s="154"/>
      <c r="C298" s="154"/>
      <c r="D298" s="154"/>
      <c r="E298" s="154"/>
      <c r="F298" s="154"/>
      <c r="G298" s="154"/>
      <c r="H298" s="154"/>
    </row>
    <row r="299" spans="1:18" x14ac:dyDescent="0.2">
      <c r="A299" s="154" t="str">
        <f>RunName</f>
        <v>2027 Test Year Cost of Service Study (No Rate Mitigation)</v>
      </c>
      <c r="B299" s="154"/>
      <c r="C299" s="154"/>
      <c r="D299" s="154"/>
      <c r="E299" s="154"/>
      <c r="F299" s="154"/>
      <c r="G299" s="154"/>
      <c r="H299" s="154"/>
    </row>
    <row r="300" spans="1:18" x14ac:dyDescent="0.2">
      <c r="A300" s="154" t="s">
        <v>328</v>
      </c>
      <c r="B300" s="154"/>
      <c r="C300" s="154"/>
      <c r="D300" s="154"/>
      <c r="E300" s="154"/>
      <c r="F300" s="154"/>
      <c r="G300" s="154"/>
      <c r="H300" s="154"/>
      <c r="R300" s="1"/>
    </row>
    <row r="301" spans="1:18" x14ac:dyDescent="0.2">
      <c r="A301" s="154" t="s">
        <v>446</v>
      </c>
      <c r="B301" s="154"/>
      <c r="C301" s="154"/>
      <c r="D301" s="154"/>
      <c r="E301" s="154"/>
      <c r="F301" s="154"/>
      <c r="G301" s="154"/>
      <c r="H301" s="154"/>
    </row>
    <row r="302" spans="1:18" x14ac:dyDescent="0.2">
      <c r="B302" s="192"/>
      <c r="C302" s="192"/>
      <c r="D302" s="192"/>
      <c r="E302" s="192"/>
      <c r="F302" s="192"/>
    </row>
    <row r="303" spans="1:18" x14ac:dyDescent="0.2">
      <c r="A303" s="1" t="s">
        <v>14</v>
      </c>
      <c r="B303" s="1">
        <f>MAX(A303)+NoOne</f>
        <v>1</v>
      </c>
      <c r="C303" s="1">
        <f>MAX(B303)+NoOne</f>
        <v>2</v>
      </c>
      <c r="D303" s="1"/>
      <c r="E303" s="1"/>
      <c r="F303" s="1"/>
      <c r="G303" s="1"/>
    </row>
    <row r="304" spans="1:18" x14ac:dyDescent="0.2">
      <c r="A304" s="1" t="s">
        <v>30</v>
      </c>
    </row>
    <row r="305" spans="1:7" x14ac:dyDescent="0.2">
      <c r="B305" s="1"/>
      <c r="C305" s="1" t="s">
        <v>466</v>
      </c>
      <c r="D305" s="159"/>
      <c r="E305" s="159"/>
      <c r="F305" s="159"/>
      <c r="G305" s="1"/>
    </row>
    <row r="306" spans="1:7" x14ac:dyDescent="0.2">
      <c r="B306" s="1"/>
      <c r="C306" s="12" t="s">
        <v>467</v>
      </c>
      <c r="D306" s="1" t="s">
        <v>468</v>
      </c>
      <c r="E306" s="1" t="s">
        <v>469</v>
      </c>
      <c r="F306" s="1"/>
      <c r="G306" s="1"/>
    </row>
    <row r="307" spans="1:7" x14ac:dyDescent="0.2">
      <c r="B307" s="1"/>
      <c r="C307" s="228" t="s">
        <v>477</v>
      </c>
      <c r="D307" s="229" t="s">
        <v>470</v>
      </c>
      <c r="E307" s="229" t="s">
        <v>471</v>
      </c>
      <c r="F307" s="1"/>
      <c r="G307" s="1"/>
    </row>
    <row r="308" spans="1:7" x14ac:dyDescent="0.2">
      <c r="B308" s="1"/>
      <c r="C308" s="1" t="s">
        <v>37</v>
      </c>
      <c r="D308" s="1" t="s">
        <v>37</v>
      </c>
      <c r="E308" s="1" t="s">
        <v>37</v>
      </c>
      <c r="F308" s="1"/>
      <c r="G308" s="1"/>
    </row>
    <row r="310" spans="1:7" x14ac:dyDescent="0.2">
      <c r="B310" s="106" t="s">
        <v>472</v>
      </c>
    </row>
    <row r="312" spans="1:7" ht="15" x14ac:dyDescent="0.25">
      <c r="A312" s="1">
        <f>MAX(A309:A311)+NoOne</f>
        <v>1</v>
      </c>
      <c r="B312" s="106" t="s">
        <v>473</v>
      </c>
      <c r="C312" s="163">
        <f>C273</f>
        <v>97077924.322133109</v>
      </c>
      <c r="D312" s="212"/>
      <c r="E312" s="212"/>
      <c r="F312" s="212"/>
      <c r="G312" s="230"/>
    </row>
    <row r="313" spans="1:7" ht="15" hidden="1" x14ac:dyDescent="0.25">
      <c r="A313" s="1">
        <f>MAX(A310:A312)+NoOne</f>
        <v>2</v>
      </c>
      <c r="B313" s="106" t="s">
        <v>474</v>
      </c>
      <c r="C313" s="163">
        <f>D273</f>
        <v>0</v>
      </c>
      <c r="D313" s="212"/>
      <c r="E313" s="212"/>
      <c r="F313" s="212"/>
      <c r="G313" s="230"/>
    </row>
    <row r="314" spans="1:7" ht="15" x14ac:dyDescent="0.25">
      <c r="C314" s="163"/>
      <c r="D314" s="212"/>
      <c r="E314" s="212"/>
      <c r="F314" s="212"/>
    </row>
    <row r="315" spans="1:7" ht="13.5" thickBot="1" x14ac:dyDescent="0.25">
      <c r="A315" s="1">
        <v>2</v>
      </c>
      <c r="B315" s="2" t="s">
        <v>475</v>
      </c>
      <c r="C315" s="223">
        <f>SUM(C312:C313)</f>
        <v>97077924.322133109</v>
      </c>
      <c r="D315" s="223">
        <f>E268/E271*E273</f>
        <v>95188620.584301099</v>
      </c>
      <c r="E315" s="223">
        <f>E269/E271*E273</f>
        <v>1889303.7378320058</v>
      </c>
      <c r="F315" s="197"/>
    </row>
    <row r="316" spans="1:7" ht="13.5" thickTop="1" x14ac:dyDescent="0.2"/>
    <row r="317" spans="1:7" x14ac:dyDescent="0.2">
      <c r="B317" s="106" t="s">
        <v>476</v>
      </c>
    </row>
    <row r="318" spans="1:7" x14ac:dyDescent="0.2">
      <c r="C318" s="229" t="s">
        <v>32</v>
      </c>
      <c r="D318" s="231" t="s">
        <v>477</v>
      </c>
      <c r="E318" s="229" t="s">
        <v>478</v>
      </c>
    </row>
    <row r="319" spans="1:7" x14ac:dyDescent="0.2">
      <c r="B319" s="2" t="s">
        <v>479</v>
      </c>
    </row>
    <row r="320" spans="1:7" ht="15" x14ac:dyDescent="0.25">
      <c r="A320" s="1">
        <f>MAX(A315:A319)+NoOne</f>
        <v>3</v>
      </c>
      <c r="B320" s="173" t="s">
        <v>480</v>
      </c>
      <c r="C320" s="195">
        <f>C268/SUM($C$268:$C$268)*$D$315</f>
        <v>95188620.584301099</v>
      </c>
      <c r="D320" s="163">
        <f>SUM(F268:I268)</f>
        <v>1009624140.6639924</v>
      </c>
      <c r="E320" s="232">
        <f>+C320/C326</f>
        <v>0.98053827632775969</v>
      </c>
    </row>
    <row r="321" spans="1:5" hidden="1" x14ac:dyDescent="0.2">
      <c r="A321" s="1">
        <f>MAX(A318:A320)+NoOne</f>
        <v>4</v>
      </c>
      <c r="B321" s="173" t="s">
        <v>481</v>
      </c>
      <c r="C321" s="195">
        <f>SUM(C320:C320)</f>
        <v>95188620.584301099</v>
      </c>
      <c r="E321" s="233"/>
    </row>
    <row r="322" spans="1:5" x14ac:dyDescent="0.2">
      <c r="B322" s="173"/>
      <c r="C322" s="163"/>
      <c r="E322" s="233"/>
    </row>
    <row r="323" spans="1:5" x14ac:dyDescent="0.2">
      <c r="B323" s="2" t="s">
        <v>482</v>
      </c>
      <c r="E323" s="233"/>
    </row>
    <row r="324" spans="1:5" ht="15" x14ac:dyDescent="0.25">
      <c r="A324" s="1">
        <f>MAX(A320:A320)+NoOne</f>
        <v>4</v>
      </c>
      <c r="B324" s="106" t="s">
        <v>483</v>
      </c>
      <c r="C324" s="195">
        <f>C269/SUM($C$269:$C$269)*$E$315</f>
        <v>1889303.7378320058</v>
      </c>
      <c r="D324" s="163">
        <f>SUM(F269:I269)</f>
        <v>20039019.906508639</v>
      </c>
      <c r="E324" s="232">
        <f>+C324/C326</f>
        <v>1.9461723672240253E-2</v>
      </c>
    </row>
    <row r="325" spans="1:5" hidden="1" x14ac:dyDescent="0.2">
      <c r="A325" s="1">
        <f>MAX(A322:A324)+NoOne</f>
        <v>5</v>
      </c>
      <c r="B325" s="106" t="s">
        <v>484</v>
      </c>
      <c r="C325" s="195">
        <f>SUM(C324:C324)</f>
        <v>1889303.7378320058</v>
      </c>
      <c r="E325" s="1"/>
    </row>
    <row r="326" spans="1:5" ht="15.75" thickBot="1" x14ac:dyDescent="0.3">
      <c r="A326" s="1">
        <f>MAX(A323:A324)+NoOne</f>
        <v>5</v>
      </c>
      <c r="B326" s="2" t="s">
        <v>485</v>
      </c>
      <c r="C326" s="223">
        <f>SUM(C325,C321)</f>
        <v>97077924.322133109</v>
      </c>
      <c r="E326" s="234">
        <f>+C326/$C$326</f>
        <v>1</v>
      </c>
    </row>
    <row r="327" spans="1:5" ht="13.5" thickTop="1" x14ac:dyDescent="0.2"/>
  </sheetData>
  <printOptions horizontalCentered="1"/>
  <pageMargins left="0.5" right="0.5" top="0.5" bottom="0.5" header="0.5" footer="0.25"/>
  <pageSetup scale="90" firstPageNumber="9" fitToHeight="0" orientation="landscape" r:id="rId1"/>
  <headerFooter alignWithMargins="0"/>
  <rowBreaks count="7" manualBreakCount="7">
    <brk id="47" max="8" man="1"/>
    <brk id="96" max="8" man="1"/>
    <brk id="134" max="8" man="1"/>
    <brk id="172" max="8" man="1"/>
    <brk id="204" max="8" man="1"/>
    <brk id="250" max="7" man="1"/>
    <brk id="293" max="16383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E4A90-79F1-4A7C-833D-55788B32BCBC}">
  <dimension ref="A2:S119"/>
  <sheetViews>
    <sheetView topLeftCell="A50" workbookViewId="0">
      <selection activeCell="B68" sqref="B68"/>
    </sheetView>
  </sheetViews>
  <sheetFormatPr defaultRowHeight="15" x14ac:dyDescent="0.25"/>
  <cols>
    <col min="2" max="2" width="34.5703125" bestFit="1" customWidth="1"/>
    <col min="3" max="5" width="12.5703125" bestFit="1" customWidth="1"/>
    <col min="6" max="7" width="11.85546875" bestFit="1" customWidth="1"/>
    <col min="8" max="8" width="10.140625" bestFit="1" customWidth="1"/>
    <col min="9" max="9" width="11.7109375" bestFit="1" customWidth="1"/>
    <col min="10" max="10" width="10" bestFit="1" customWidth="1"/>
    <col min="12" max="12" width="10" bestFit="1" customWidth="1"/>
    <col min="13" max="13" width="14.28515625" bestFit="1" customWidth="1"/>
    <col min="14" max="14" width="10" bestFit="1" customWidth="1"/>
    <col min="16" max="16" width="10" bestFit="1" customWidth="1"/>
    <col min="18" max="18" width="10" bestFit="1" customWidth="1"/>
    <col min="19" max="19" width="14.140625" bestFit="1" customWidth="1"/>
  </cols>
  <sheetData>
    <row r="2" spans="1:19" ht="16.5" x14ac:dyDescent="0.3">
      <c r="A2" s="1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 t="s">
        <v>250</v>
      </c>
    </row>
    <row r="3" spans="1:19" ht="16.5" x14ac:dyDescent="0.3">
      <c r="A3" s="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7" t="s">
        <v>251</v>
      </c>
    </row>
    <row r="4" spans="1:19" ht="16.5" x14ac:dyDescent="0.3">
      <c r="A4" s="8" t="s">
        <v>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ht="16.5" x14ac:dyDescent="0.3">
      <c r="A5" s="8" t="s">
        <v>590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ht="16.5" x14ac:dyDescent="0.3">
      <c r="A6" s="8" t="s">
        <v>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16.5" x14ac:dyDescent="0.3">
      <c r="A7" s="8" t="s">
        <v>592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 x14ac:dyDescent="0.25">
      <c r="A8" s="1"/>
      <c r="B8" s="1">
        <v>1</v>
      </c>
      <c r="C8" s="1">
        <v>2</v>
      </c>
      <c r="D8" s="1">
        <v>3</v>
      </c>
      <c r="E8" s="1">
        <v>4</v>
      </c>
      <c r="F8" s="1">
        <v>5</v>
      </c>
      <c r="G8" s="1">
        <v>6</v>
      </c>
      <c r="H8" s="1">
        <v>7</v>
      </c>
      <c r="I8" s="1">
        <v>8</v>
      </c>
      <c r="J8" s="1">
        <v>9</v>
      </c>
      <c r="K8" s="1">
        <v>10</v>
      </c>
      <c r="L8" s="1">
        <v>11</v>
      </c>
      <c r="M8" s="1">
        <v>12</v>
      </c>
      <c r="N8" s="1">
        <v>13</v>
      </c>
      <c r="O8" s="1">
        <v>14</v>
      </c>
      <c r="P8" s="1">
        <v>15</v>
      </c>
      <c r="Q8" s="1">
        <v>16</v>
      </c>
      <c r="R8" s="1">
        <v>17</v>
      </c>
      <c r="S8" s="1">
        <v>18</v>
      </c>
    </row>
    <row r="9" spans="1:19" ht="16.5" x14ac:dyDescent="0.3">
      <c r="A9" s="1"/>
      <c r="B9" s="13"/>
      <c r="C9" s="13"/>
      <c r="D9" s="13"/>
      <c r="E9" s="13"/>
      <c r="F9" s="13"/>
      <c r="G9" s="13" t="s">
        <v>8</v>
      </c>
      <c r="H9" s="14" t="s">
        <v>9</v>
      </c>
      <c r="I9" s="14"/>
      <c r="J9" s="14"/>
      <c r="K9" s="14"/>
      <c r="L9" s="14"/>
      <c r="M9" s="14"/>
      <c r="N9" s="14"/>
      <c r="O9" s="14"/>
      <c r="P9" s="14"/>
      <c r="Q9" s="14"/>
      <c r="R9" s="6"/>
      <c r="S9" s="13" t="s">
        <v>10</v>
      </c>
    </row>
    <row r="10" spans="1:19" ht="16.5" x14ac:dyDescent="0.3">
      <c r="A10" s="1" t="s">
        <v>14</v>
      </c>
      <c r="B10" s="13"/>
      <c r="C10" s="13" t="s">
        <v>15</v>
      </c>
      <c r="D10" s="13" t="s">
        <v>16</v>
      </c>
      <c r="E10" s="13" t="s">
        <v>16</v>
      </c>
      <c r="F10" s="13" t="s">
        <v>17</v>
      </c>
      <c r="G10" s="13" t="s">
        <v>17</v>
      </c>
      <c r="H10" s="13" t="s">
        <v>18</v>
      </c>
      <c r="I10" s="14" t="s">
        <v>19</v>
      </c>
      <c r="J10" s="14"/>
      <c r="K10" s="14" t="s">
        <v>20</v>
      </c>
      <c r="L10" s="14"/>
      <c r="M10" s="14" t="s">
        <v>21</v>
      </c>
      <c r="N10" s="14"/>
      <c r="O10" s="48" t="s">
        <v>22</v>
      </c>
      <c r="P10" s="48" t="s">
        <v>23</v>
      </c>
      <c r="Q10" s="49" t="s">
        <v>24</v>
      </c>
      <c r="R10" s="48" t="s">
        <v>25</v>
      </c>
      <c r="S10" s="13" t="s">
        <v>26</v>
      </c>
    </row>
    <row r="11" spans="1:19" ht="16.5" x14ac:dyDescent="0.3">
      <c r="A11" s="1" t="s">
        <v>30</v>
      </c>
      <c r="B11" s="13" t="s">
        <v>31</v>
      </c>
      <c r="C11" s="13" t="s">
        <v>32</v>
      </c>
      <c r="D11" s="13" t="s">
        <v>33</v>
      </c>
      <c r="E11" s="13" t="s">
        <v>34</v>
      </c>
      <c r="F11" s="13" t="s">
        <v>33</v>
      </c>
      <c r="G11" s="13" t="s">
        <v>33</v>
      </c>
      <c r="H11" s="13" t="s">
        <v>33</v>
      </c>
      <c r="I11" s="13" t="s">
        <v>33</v>
      </c>
      <c r="J11" s="13" t="s">
        <v>35</v>
      </c>
      <c r="K11" s="13" t="s">
        <v>33</v>
      </c>
      <c r="L11" s="13" t="s">
        <v>35</v>
      </c>
      <c r="M11" s="13" t="s">
        <v>33</v>
      </c>
      <c r="N11" s="13" t="s">
        <v>35</v>
      </c>
      <c r="O11" s="13" t="s">
        <v>35</v>
      </c>
      <c r="P11" s="13" t="s">
        <v>35</v>
      </c>
      <c r="Q11" s="13" t="s">
        <v>35</v>
      </c>
      <c r="R11" s="13" t="s">
        <v>35</v>
      </c>
      <c r="S11" s="13" t="s">
        <v>35</v>
      </c>
    </row>
    <row r="12" spans="1:19" ht="16.5" x14ac:dyDescent="0.3">
      <c r="A12" s="1"/>
      <c r="B12" s="21" t="s">
        <v>254</v>
      </c>
      <c r="C12" s="13"/>
      <c r="D12" s="13" t="s">
        <v>37</v>
      </c>
      <c r="E12" s="13" t="s">
        <v>37</v>
      </c>
      <c r="F12" s="13" t="s">
        <v>37</v>
      </c>
      <c r="G12" s="13" t="s">
        <v>37</v>
      </c>
      <c r="H12" s="13" t="s">
        <v>37</v>
      </c>
      <c r="I12" s="13" t="s">
        <v>37</v>
      </c>
      <c r="J12" s="13" t="s">
        <v>37</v>
      </c>
      <c r="K12" s="13" t="s">
        <v>37</v>
      </c>
      <c r="L12" s="13" t="s">
        <v>37</v>
      </c>
      <c r="M12" s="13" t="s">
        <v>37</v>
      </c>
      <c r="N12" s="13" t="s">
        <v>37</v>
      </c>
      <c r="O12" s="13" t="s">
        <v>37</v>
      </c>
      <c r="P12" s="13" t="s">
        <v>37</v>
      </c>
      <c r="Q12" s="13" t="s">
        <v>37</v>
      </c>
      <c r="R12" s="13" t="s">
        <v>37</v>
      </c>
      <c r="S12" s="13" t="s">
        <v>37</v>
      </c>
    </row>
    <row r="13" spans="1:19" ht="16.5" x14ac:dyDescent="0.3">
      <c r="A13" s="1">
        <v>1</v>
      </c>
      <c r="B13" s="6" t="s">
        <v>224</v>
      </c>
      <c r="C13" s="22">
        <f>'Schedule G IslIntCos'!F400-'Schedule F IslIntCos'!F400</f>
        <v>435587126.9014191</v>
      </c>
      <c r="D13" s="22">
        <f>'Schedule G IslIntCos'!G400-'Schedule F IslIntCos'!G400</f>
        <v>221438250.64519313</v>
      </c>
      <c r="E13" s="22">
        <f>'Schedule G IslIntCos'!H400-'Schedule F IslIntCos'!H400</f>
        <v>214148876.25622606</v>
      </c>
      <c r="F13" s="22">
        <f>'Schedule G IslIntCos'!I400-'Schedule F IslIntCos'!I400</f>
        <v>0</v>
      </c>
      <c r="G13" s="22">
        <f>'Schedule G IslIntCos'!J400-'Schedule F IslIntCos'!J400</f>
        <v>0</v>
      </c>
      <c r="H13" s="22">
        <f>'Schedule G IslIntCos'!K400-'Schedule F IslIntCos'!K400</f>
        <v>0</v>
      </c>
      <c r="I13" s="22">
        <f>'Schedule G IslIntCos'!L400-'Schedule F IslIntCos'!L400</f>
        <v>0</v>
      </c>
      <c r="J13" s="22">
        <f>'Schedule G IslIntCos'!M400-'Schedule F IslIntCos'!M400</f>
        <v>0</v>
      </c>
      <c r="K13" s="22">
        <f>'Schedule G IslIntCos'!N400-'Schedule F IslIntCos'!N400</f>
        <v>0</v>
      </c>
      <c r="L13" s="22">
        <f>'Schedule G IslIntCos'!O400-'Schedule F IslIntCos'!O400</f>
        <v>0</v>
      </c>
      <c r="M13" s="22">
        <f>'Schedule G IslIntCos'!P400-'Schedule F IslIntCos'!P400</f>
        <v>0</v>
      </c>
      <c r="N13" s="22">
        <f>'Schedule G IslIntCos'!Q400-'Schedule F IslIntCos'!Q400</f>
        <v>0</v>
      </c>
      <c r="O13" s="22">
        <f>'Schedule G IslIntCos'!R400-'Schedule F IslIntCos'!R400</f>
        <v>0</v>
      </c>
      <c r="P13" s="22">
        <f>'Schedule G IslIntCos'!S400-'Schedule F IslIntCos'!S400</f>
        <v>0</v>
      </c>
      <c r="Q13" s="22">
        <f>'Schedule G IslIntCos'!T400-'Schedule F IslIntCos'!T400</f>
        <v>0</v>
      </c>
      <c r="R13" s="22">
        <f>'Schedule G IslIntCos'!U400-'Schedule F IslIntCos'!U400</f>
        <v>0</v>
      </c>
      <c r="S13" s="22">
        <f>'Schedule G IslIntCos'!V400-'Schedule F IslIntCos'!V400</f>
        <v>0</v>
      </c>
    </row>
    <row r="14" spans="1:19" ht="16.5" x14ac:dyDescent="0.3">
      <c r="A14" s="1">
        <v>2</v>
      </c>
      <c r="B14" s="17" t="s">
        <v>227</v>
      </c>
      <c r="C14" s="22">
        <f>'Schedule G IslIntCos'!F401-'Schedule F IslIntCos'!F401</f>
        <v>34269260.353916019</v>
      </c>
      <c r="D14" s="22">
        <f>'Schedule G IslIntCos'!G401-'Schedule F IslIntCos'!G401</f>
        <v>12430206.004208019</v>
      </c>
      <c r="E14" s="22">
        <f>'Schedule G IslIntCos'!H401-'Schedule F IslIntCos'!H401</f>
        <v>21839054.349708017</v>
      </c>
      <c r="F14" s="22">
        <f>'Schedule G IslIntCos'!I401-'Schedule F IslIntCos'!I401</f>
        <v>0</v>
      </c>
      <c r="G14" s="22">
        <f>'Schedule G IslIntCos'!J401-'Schedule F IslIntCos'!J401</f>
        <v>0</v>
      </c>
      <c r="H14" s="22">
        <f>'Schedule G IslIntCos'!K401-'Schedule F IslIntCos'!K401</f>
        <v>0</v>
      </c>
      <c r="I14" s="22">
        <f>'Schedule G IslIntCos'!L401-'Schedule F IslIntCos'!L401</f>
        <v>0</v>
      </c>
      <c r="J14" s="22">
        <f>'Schedule G IslIntCos'!M401-'Schedule F IslIntCos'!M401</f>
        <v>0</v>
      </c>
      <c r="K14" s="22">
        <f>'Schedule G IslIntCos'!N401-'Schedule F IslIntCos'!N401</f>
        <v>0</v>
      </c>
      <c r="L14" s="22">
        <f>'Schedule G IslIntCos'!O401-'Schedule F IslIntCos'!O401</f>
        <v>0</v>
      </c>
      <c r="M14" s="22">
        <f>'Schedule G IslIntCos'!P401-'Schedule F IslIntCos'!P401</f>
        <v>0</v>
      </c>
      <c r="N14" s="22">
        <f>'Schedule G IslIntCos'!Q401-'Schedule F IslIntCos'!Q401</f>
        <v>0</v>
      </c>
      <c r="O14" s="22">
        <f>'Schedule G IslIntCos'!R401-'Schedule F IslIntCos'!R401</f>
        <v>0</v>
      </c>
      <c r="P14" s="22">
        <f>'Schedule G IslIntCos'!S401-'Schedule F IslIntCos'!S401</f>
        <v>0</v>
      </c>
      <c r="Q14" s="22">
        <f>'Schedule G IslIntCos'!T401-'Schedule F IslIntCos'!T401</f>
        <v>0</v>
      </c>
      <c r="R14" s="22">
        <f>'Schedule G IslIntCos'!U401-'Schedule F IslIntCos'!U401</f>
        <v>0</v>
      </c>
      <c r="S14" s="22">
        <f>'Schedule G IslIntCos'!V401-'Schedule F IslIntCos'!V401</f>
        <v>0</v>
      </c>
    </row>
    <row r="15" spans="1:19" ht="16.5" x14ac:dyDescent="0.3">
      <c r="A15" s="1">
        <v>3</v>
      </c>
      <c r="B15" s="17" t="s">
        <v>229</v>
      </c>
      <c r="C15" s="22">
        <f>'Schedule G IslIntCos'!F402-'Schedule F IslIntCos'!F402</f>
        <v>0</v>
      </c>
      <c r="D15" s="22">
        <f>'Schedule G IslIntCos'!G402-'Schedule F IslIntCos'!G402</f>
        <v>0</v>
      </c>
      <c r="E15" s="22">
        <f>'Schedule G IslIntCos'!H402-'Schedule F IslIntCos'!H402</f>
        <v>0</v>
      </c>
      <c r="F15" s="22">
        <f>'Schedule G IslIntCos'!I402-'Schedule F IslIntCos'!I402</f>
        <v>0</v>
      </c>
      <c r="G15" s="22">
        <f>'Schedule G IslIntCos'!J402-'Schedule F IslIntCos'!J402</f>
        <v>0</v>
      </c>
      <c r="H15" s="22">
        <f>'Schedule G IslIntCos'!K402-'Schedule F IslIntCos'!K402</f>
        <v>0</v>
      </c>
      <c r="I15" s="22">
        <f>'Schedule G IslIntCos'!L402-'Schedule F IslIntCos'!L402</f>
        <v>0</v>
      </c>
      <c r="J15" s="22">
        <f>'Schedule G IslIntCos'!M402-'Schedule F IslIntCos'!M402</f>
        <v>0</v>
      </c>
      <c r="K15" s="22">
        <f>'Schedule G IslIntCos'!N402-'Schedule F IslIntCos'!N402</f>
        <v>0</v>
      </c>
      <c r="L15" s="22">
        <f>'Schedule G IslIntCos'!O402-'Schedule F IslIntCos'!O402</f>
        <v>0</v>
      </c>
      <c r="M15" s="22">
        <f>'Schedule G IslIntCos'!P402-'Schedule F IslIntCos'!P402</f>
        <v>0</v>
      </c>
      <c r="N15" s="22">
        <f>'Schedule G IslIntCos'!Q402-'Schedule F IslIntCos'!Q402</f>
        <v>0</v>
      </c>
      <c r="O15" s="22">
        <f>'Schedule G IslIntCos'!R402-'Schedule F IslIntCos'!R402</f>
        <v>0</v>
      </c>
      <c r="P15" s="22">
        <f>'Schedule G IslIntCos'!S402-'Schedule F IslIntCos'!S402</f>
        <v>0</v>
      </c>
      <c r="Q15" s="22">
        <f>'Schedule G IslIntCos'!T402-'Schedule F IslIntCos'!T402</f>
        <v>0</v>
      </c>
      <c r="R15" s="22">
        <f>'Schedule G IslIntCos'!U402-'Schedule F IslIntCos'!U402</f>
        <v>0</v>
      </c>
      <c r="S15" s="22">
        <f>'Schedule G IslIntCos'!V402-'Schedule F IslIntCos'!V402</f>
        <v>0</v>
      </c>
    </row>
    <row r="16" spans="1:19" ht="16.5" x14ac:dyDescent="0.3">
      <c r="A16" s="1"/>
      <c r="B16" s="20" t="s">
        <v>230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</row>
    <row r="17" spans="1:19" ht="16.5" x14ac:dyDescent="0.3">
      <c r="A17" s="1">
        <v>4</v>
      </c>
      <c r="B17" s="17" t="s">
        <v>232</v>
      </c>
      <c r="C17" s="22">
        <f>'Schedule G IslIntCos'!F404-'Schedule F IslIntCos'!F404</f>
        <v>9230667.1717782021</v>
      </c>
      <c r="D17" s="22">
        <f>'Schedule G IslIntCos'!G404-'Schedule F IslIntCos'!G404</f>
        <v>5012854.5901520895</v>
      </c>
      <c r="E17" s="22">
        <f>'Schedule G IslIntCos'!H404-'Schedule F IslIntCos'!H404</f>
        <v>4217812.5816261079</v>
      </c>
      <c r="F17" s="22">
        <f>'Schedule G IslIntCos'!I404-'Schedule F IslIntCos'!I404</f>
        <v>0</v>
      </c>
      <c r="G17" s="22">
        <f>'Schedule G IslIntCos'!J404-'Schedule F IslIntCos'!J404</f>
        <v>0</v>
      </c>
      <c r="H17" s="22">
        <f>'Schedule G IslIntCos'!K404-'Schedule F IslIntCos'!K404</f>
        <v>0</v>
      </c>
      <c r="I17" s="22">
        <f>'Schedule G IslIntCos'!L404-'Schedule F IslIntCos'!L404</f>
        <v>0</v>
      </c>
      <c r="J17" s="22">
        <f>'Schedule G IslIntCos'!M404-'Schedule F IslIntCos'!M404</f>
        <v>0</v>
      </c>
      <c r="K17" s="22">
        <f>'Schedule G IslIntCos'!N404-'Schedule F IslIntCos'!N404</f>
        <v>0</v>
      </c>
      <c r="L17" s="22">
        <f>'Schedule G IslIntCos'!O404-'Schedule F IslIntCos'!O404</f>
        <v>0</v>
      </c>
      <c r="M17" s="22">
        <f>'Schedule G IslIntCos'!P404-'Schedule F IslIntCos'!P404</f>
        <v>0</v>
      </c>
      <c r="N17" s="22">
        <f>'Schedule G IslIntCos'!Q404-'Schedule F IslIntCos'!Q404</f>
        <v>0</v>
      </c>
      <c r="O17" s="22">
        <f>'Schedule G IslIntCos'!R404-'Schedule F IslIntCos'!R404</f>
        <v>0</v>
      </c>
      <c r="P17" s="22">
        <f>'Schedule G IslIntCos'!S404-'Schedule F IslIntCos'!S404</f>
        <v>0</v>
      </c>
      <c r="Q17" s="22">
        <f>'Schedule G IslIntCos'!T404-'Schedule F IslIntCos'!T404</f>
        <v>0</v>
      </c>
      <c r="R17" s="22">
        <f>'Schedule G IslIntCos'!U404-'Schedule F IslIntCos'!U404</f>
        <v>0</v>
      </c>
      <c r="S17" s="22">
        <f>'Schedule G IslIntCos'!V404-'Schedule F IslIntCos'!V404</f>
        <v>0</v>
      </c>
    </row>
    <row r="18" spans="1:19" ht="16.5" x14ac:dyDescent="0.3">
      <c r="A18" s="1">
        <v>5</v>
      </c>
      <c r="B18" s="17" t="s">
        <v>234</v>
      </c>
      <c r="C18" s="22">
        <f>'Schedule G IslIntCos'!F405-'Schedule F IslIntCos'!F405</f>
        <v>11504905.165422931</v>
      </c>
      <c r="D18" s="22">
        <f>'Schedule G IslIntCos'!G405-'Schedule F IslIntCos'!G405</f>
        <v>5818437.0681511695</v>
      </c>
      <c r="E18" s="22">
        <f>'Schedule G IslIntCos'!H405-'Schedule F IslIntCos'!H405</f>
        <v>5686468.0972717572</v>
      </c>
      <c r="F18" s="22">
        <f>'Schedule G IslIntCos'!I405-'Schedule F IslIntCos'!I405</f>
        <v>0</v>
      </c>
      <c r="G18" s="22">
        <f>'Schedule G IslIntCos'!J405-'Schedule F IslIntCos'!J405</f>
        <v>0</v>
      </c>
      <c r="H18" s="22">
        <f>'Schedule G IslIntCos'!K405-'Schedule F IslIntCos'!K405</f>
        <v>0</v>
      </c>
      <c r="I18" s="22">
        <f>'Schedule G IslIntCos'!L405-'Schedule F IslIntCos'!L405</f>
        <v>0</v>
      </c>
      <c r="J18" s="22">
        <f>'Schedule G IslIntCos'!M405-'Schedule F IslIntCos'!M405</f>
        <v>0</v>
      </c>
      <c r="K18" s="22">
        <f>'Schedule G IslIntCos'!N405-'Schedule F IslIntCos'!N405</f>
        <v>0</v>
      </c>
      <c r="L18" s="22">
        <f>'Schedule G IslIntCos'!O405-'Schedule F IslIntCos'!O405</f>
        <v>0</v>
      </c>
      <c r="M18" s="22">
        <f>'Schedule G IslIntCos'!P405-'Schedule F IslIntCos'!P405</f>
        <v>0</v>
      </c>
      <c r="N18" s="22">
        <f>'Schedule G IslIntCos'!Q405-'Schedule F IslIntCos'!Q405</f>
        <v>0</v>
      </c>
      <c r="O18" s="22">
        <f>'Schedule G IslIntCos'!R405-'Schedule F IslIntCos'!R405</f>
        <v>0</v>
      </c>
      <c r="P18" s="22">
        <f>'Schedule G IslIntCos'!S405-'Schedule F IslIntCos'!S405</f>
        <v>0</v>
      </c>
      <c r="Q18" s="22">
        <f>'Schedule G IslIntCos'!T405-'Schedule F IslIntCos'!T405</f>
        <v>0</v>
      </c>
      <c r="R18" s="22">
        <f>'Schedule G IslIntCos'!U405-'Schedule F IslIntCos'!U405</f>
        <v>0</v>
      </c>
      <c r="S18" s="22">
        <f>'Schedule G IslIntCos'!V405-'Schedule F IslIntCos'!V405</f>
        <v>0</v>
      </c>
    </row>
    <row r="19" spans="1:19" ht="16.5" x14ac:dyDescent="0.3">
      <c r="A19" s="1">
        <v>6</v>
      </c>
      <c r="B19" s="17" t="s">
        <v>236</v>
      </c>
      <c r="C19" s="22">
        <f>'Schedule G IslIntCos'!F406-'Schedule F IslIntCos'!F406</f>
        <v>33536.127151061177</v>
      </c>
      <c r="D19" s="22">
        <f>'Schedule G IslIntCos'!G406-'Schedule F IslIntCos'!G406</f>
        <v>20163.566195447802</v>
      </c>
      <c r="E19" s="22">
        <f>'Schedule G IslIntCos'!H406-'Schedule F IslIntCos'!H406</f>
        <v>13372.560955613375</v>
      </c>
      <c r="F19" s="22">
        <f>'Schedule G IslIntCos'!I406-'Schedule F IslIntCos'!I406</f>
        <v>0</v>
      </c>
      <c r="G19" s="22">
        <f>'Schedule G IslIntCos'!J406-'Schedule F IslIntCos'!J406</f>
        <v>0</v>
      </c>
      <c r="H19" s="22">
        <f>'Schedule G IslIntCos'!K406-'Schedule F IslIntCos'!K406</f>
        <v>0</v>
      </c>
      <c r="I19" s="22">
        <f>'Schedule G IslIntCos'!L406-'Schedule F IslIntCos'!L406</f>
        <v>0</v>
      </c>
      <c r="J19" s="22">
        <f>'Schedule G IslIntCos'!M406-'Schedule F IslIntCos'!M406</f>
        <v>0</v>
      </c>
      <c r="K19" s="22">
        <f>'Schedule G IslIntCos'!N406-'Schedule F IslIntCos'!N406</f>
        <v>0</v>
      </c>
      <c r="L19" s="22">
        <f>'Schedule G IslIntCos'!O406-'Schedule F IslIntCos'!O406</f>
        <v>0</v>
      </c>
      <c r="M19" s="22">
        <f>'Schedule G IslIntCos'!P406-'Schedule F IslIntCos'!P406</f>
        <v>0</v>
      </c>
      <c r="N19" s="22">
        <f>'Schedule G IslIntCos'!Q406-'Schedule F IslIntCos'!Q406</f>
        <v>0</v>
      </c>
      <c r="O19" s="22">
        <f>'Schedule G IslIntCos'!R406-'Schedule F IslIntCos'!R406</f>
        <v>0</v>
      </c>
      <c r="P19" s="22">
        <f>'Schedule G IslIntCos'!S406-'Schedule F IslIntCos'!S406</f>
        <v>0</v>
      </c>
      <c r="Q19" s="22">
        <f>'Schedule G IslIntCos'!T406-'Schedule F IslIntCos'!T406</f>
        <v>0</v>
      </c>
      <c r="R19" s="22">
        <f>'Schedule G IslIntCos'!U406-'Schedule F IslIntCos'!U406</f>
        <v>0</v>
      </c>
      <c r="S19" s="22">
        <f>'Schedule G IslIntCos'!V406-'Schedule F IslIntCos'!V406</f>
        <v>0</v>
      </c>
    </row>
    <row r="20" spans="1:19" ht="16.5" x14ac:dyDescent="0.3">
      <c r="A20" s="1">
        <v>7</v>
      </c>
      <c r="B20" s="17" t="s">
        <v>238</v>
      </c>
      <c r="C20" s="22">
        <f>'Schedule G IslIntCos'!F407-'Schedule F IslIntCos'!F407</f>
        <v>5130916.3975190781</v>
      </c>
      <c r="D20" s="22">
        <f>'Schedule G IslIntCos'!G407-'Schedule F IslIntCos'!G407</f>
        <v>2307672.1425780593</v>
      </c>
      <c r="E20" s="22">
        <f>'Schedule G IslIntCos'!H407-'Schedule F IslIntCos'!H407</f>
        <v>2823244.2549410178</v>
      </c>
      <c r="F20" s="22">
        <f>'Schedule G IslIntCos'!I407-'Schedule F IslIntCos'!I407</f>
        <v>0</v>
      </c>
      <c r="G20" s="22">
        <f>'Schedule G IslIntCos'!J407-'Schedule F IslIntCos'!J407</f>
        <v>0</v>
      </c>
      <c r="H20" s="22">
        <f>'Schedule G IslIntCos'!K407-'Schedule F IslIntCos'!K407</f>
        <v>0</v>
      </c>
      <c r="I20" s="22">
        <f>'Schedule G IslIntCos'!L407-'Schedule F IslIntCos'!L407</f>
        <v>0</v>
      </c>
      <c r="J20" s="22">
        <f>'Schedule G IslIntCos'!M407-'Schedule F IslIntCos'!M407</f>
        <v>0</v>
      </c>
      <c r="K20" s="22">
        <f>'Schedule G IslIntCos'!N407-'Schedule F IslIntCos'!N407</f>
        <v>0</v>
      </c>
      <c r="L20" s="22">
        <f>'Schedule G IslIntCos'!O407-'Schedule F IslIntCos'!O407</f>
        <v>0</v>
      </c>
      <c r="M20" s="22">
        <f>'Schedule G IslIntCos'!P407-'Schedule F IslIntCos'!P407</f>
        <v>0</v>
      </c>
      <c r="N20" s="22">
        <f>'Schedule G IslIntCos'!Q407-'Schedule F IslIntCos'!Q407</f>
        <v>0</v>
      </c>
      <c r="O20" s="22">
        <f>'Schedule G IslIntCos'!R407-'Schedule F IslIntCos'!R407</f>
        <v>0</v>
      </c>
      <c r="P20" s="22">
        <f>'Schedule G IslIntCos'!S407-'Schedule F IslIntCos'!S407</f>
        <v>0</v>
      </c>
      <c r="Q20" s="22">
        <f>'Schedule G IslIntCos'!T407-'Schedule F IslIntCos'!T407</f>
        <v>0</v>
      </c>
      <c r="R20" s="22">
        <f>'Schedule G IslIntCos'!U407-'Schedule F IslIntCos'!U407</f>
        <v>0</v>
      </c>
      <c r="S20" s="22">
        <f>'Schedule G IslIntCos'!V407-'Schedule F IslIntCos'!V407</f>
        <v>0</v>
      </c>
    </row>
    <row r="21" spans="1:19" ht="16.5" x14ac:dyDescent="0.3">
      <c r="A21" s="1">
        <v>8</v>
      </c>
      <c r="B21" s="17" t="s">
        <v>240</v>
      </c>
      <c r="C21" s="22">
        <f>'Schedule G IslIntCos'!F408-'Schedule F IslIntCos'!F408</f>
        <v>0</v>
      </c>
      <c r="D21" s="22">
        <f>'Schedule G IslIntCos'!G408-'Schedule F IslIntCos'!G408</f>
        <v>0</v>
      </c>
      <c r="E21" s="22">
        <f>'Schedule G IslIntCos'!H408-'Schedule F IslIntCos'!H408</f>
        <v>0</v>
      </c>
      <c r="F21" s="22">
        <f>'Schedule G IslIntCos'!I408-'Schedule F IslIntCos'!I408</f>
        <v>0</v>
      </c>
      <c r="G21" s="22">
        <f>'Schedule G IslIntCos'!J408-'Schedule F IslIntCos'!J408</f>
        <v>0</v>
      </c>
      <c r="H21" s="22">
        <f>'Schedule G IslIntCos'!K408-'Schedule F IslIntCos'!K408</f>
        <v>0</v>
      </c>
      <c r="I21" s="22">
        <f>'Schedule G IslIntCos'!L408-'Schedule F IslIntCos'!L408</f>
        <v>0</v>
      </c>
      <c r="J21" s="22">
        <f>'Schedule G IslIntCos'!M408-'Schedule F IslIntCos'!M408</f>
        <v>0</v>
      </c>
      <c r="K21" s="22">
        <f>'Schedule G IslIntCos'!N408-'Schedule F IslIntCos'!N408</f>
        <v>0</v>
      </c>
      <c r="L21" s="22">
        <f>'Schedule G IslIntCos'!O408-'Schedule F IslIntCos'!O408</f>
        <v>0</v>
      </c>
      <c r="M21" s="22">
        <f>'Schedule G IslIntCos'!P408-'Schedule F IslIntCos'!P408</f>
        <v>0</v>
      </c>
      <c r="N21" s="22">
        <f>'Schedule G IslIntCos'!Q408-'Schedule F IslIntCos'!Q408</f>
        <v>0</v>
      </c>
      <c r="O21" s="22">
        <f>'Schedule G IslIntCos'!R408-'Schedule F IslIntCos'!R408</f>
        <v>0</v>
      </c>
      <c r="P21" s="22">
        <f>'Schedule G IslIntCos'!S408-'Schedule F IslIntCos'!S408</f>
        <v>0</v>
      </c>
      <c r="Q21" s="22">
        <f>'Schedule G IslIntCos'!T408-'Schedule F IslIntCos'!T408</f>
        <v>0</v>
      </c>
      <c r="R21" s="22">
        <f>'Schedule G IslIntCos'!U408-'Schedule F IslIntCos'!U408</f>
        <v>0</v>
      </c>
      <c r="S21" s="22">
        <f>'Schedule G IslIntCos'!V408-'Schedule F IslIntCos'!V408</f>
        <v>0</v>
      </c>
    </row>
    <row r="22" spans="1:19" ht="16.5" x14ac:dyDescent="0.3">
      <c r="A22" s="1">
        <v>9</v>
      </c>
      <c r="B22" s="17" t="s">
        <v>242</v>
      </c>
      <c r="C22" s="22">
        <f>'Schedule G IslIntCos'!F409-'Schedule F IslIntCos'!F409</f>
        <v>3628133.7288111066</v>
      </c>
      <c r="D22" s="22">
        <f>'Schedule G IslIntCos'!G409-'Schedule F IslIntCos'!G409</f>
        <v>1526032.6291070224</v>
      </c>
      <c r="E22" s="22">
        <f>'Schedule G IslIntCos'!H409-'Schedule F IslIntCos'!H409</f>
        <v>2102101.0997040868</v>
      </c>
      <c r="F22" s="22">
        <f>'Schedule G IslIntCos'!I409-'Schedule F IslIntCos'!I409</f>
        <v>0</v>
      </c>
      <c r="G22" s="22">
        <f>'Schedule G IslIntCos'!J409-'Schedule F IslIntCos'!J409</f>
        <v>0</v>
      </c>
      <c r="H22" s="22">
        <f>'Schedule G IslIntCos'!K409-'Schedule F IslIntCos'!K409</f>
        <v>0</v>
      </c>
      <c r="I22" s="22">
        <f>'Schedule G IslIntCos'!L409-'Schedule F IslIntCos'!L409</f>
        <v>0</v>
      </c>
      <c r="J22" s="22">
        <f>'Schedule G IslIntCos'!M409-'Schedule F IslIntCos'!M409</f>
        <v>0</v>
      </c>
      <c r="K22" s="22">
        <f>'Schedule G IslIntCos'!N409-'Schedule F IslIntCos'!N409</f>
        <v>0</v>
      </c>
      <c r="L22" s="22">
        <f>'Schedule G IslIntCos'!O409-'Schedule F IslIntCos'!O409</f>
        <v>0</v>
      </c>
      <c r="M22" s="22">
        <f>'Schedule G IslIntCos'!P409-'Schedule F IslIntCos'!P409</f>
        <v>0</v>
      </c>
      <c r="N22" s="22">
        <f>'Schedule G IslIntCos'!Q409-'Schedule F IslIntCos'!Q409</f>
        <v>0</v>
      </c>
      <c r="O22" s="22">
        <f>'Schedule G IslIntCos'!R409-'Schedule F IslIntCos'!R409</f>
        <v>0</v>
      </c>
      <c r="P22" s="22">
        <f>'Schedule G IslIntCos'!S409-'Schedule F IslIntCos'!S409</f>
        <v>0</v>
      </c>
      <c r="Q22" s="22">
        <f>'Schedule G IslIntCos'!T409-'Schedule F IslIntCos'!T409</f>
        <v>0</v>
      </c>
      <c r="R22" s="22">
        <f>'Schedule G IslIntCos'!U409-'Schedule F IslIntCos'!U409</f>
        <v>0</v>
      </c>
      <c r="S22" s="22">
        <f>'Schedule G IslIntCos'!V409-'Schedule F IslIntCos'!V409</f>
        <v>0</v>
      </c>
    </row>
    <row r="23" spans="1:19" ht="16.5" x14ac:dyDescent="0.3">
      <c r="A23" s="1">
        <v>10</v>
      </c>
      <c r="B23" s="17" t="s">
        <v>244</v>
      </c>
      <c r="C23" s="22">
        <f>'Schedule G IslIntCos'!F410-'Schedule F IslIntCos'!F410</f>
        <v>2403460.0607809094</v>
      </c>
      <c r="D23" s="22">
        <f>'Schedule G IslIntCos'!G410-'Schedule F IslIntCos'!G410</f>
        <v>890835.65343829233</v>
      </c>
      <c r="E23" s="22">
        <f>'Schedule G IslIntCos'!H410-'Schedule F IslIntCos'!H410</f>
        <v>1512624.4073426162</v>
      </c>
      <c r="F23" s="22">
        <f>'Schedule G IslIntCos'!I410-'Schedule F IslIntCos'!I410</f>
        <v>0</v>
      </c>
      <c r="G23" s="22">
        <f>'Schedule G IslIntCos'!J410-'Schedule F IslIntCos'!J410</f>
        <v>0</v>
      </c>
      <c r="H23" s="22">
        <f>'Schedule G IslIntCos'!K410-'Schedule F IslIntCos'!K410</f>
        <v>0</v>
      </c>
      <c r="I23" s="22">
        <f>'Schedule G IslIntCos'!L410-'Schedule F IslIntCos'!L410</f>
        <v>0</v>
      </c>
      <c r="J23" s="22">
        <f>'Schedule G IslIntCos'!M410-'Schedule F IslIntCos'!M410</f>
        <v>0</v>
      </c>
      <c r="K23" s="22">
        <f>'Schedule G IslIntCos'!N410-'Schedule F IslIntCos'!N410</f>
        <v>0</v>
      </c>
      <c r="L23" s="22">
        <f>'Schedule G IslIntCos'!O410-'Schedule F IslIntCos'!O410</f>
        <v>0</v>
      </c>
      <c r="M23" s="22">
        <f>'Schedule G IslIntCos'!P410-'Schedule F IslIntCos'!P410</f>
        <v>0</v>
      </c>
      <c r="N23" s="22">
        <f>'Schedule G IslIntCos'!Q410-'Schedule F IslIntCos'!Q410</f>
        <v>0</v>
      </c>
      <c r="O23" s="22">
        <f>'Schedule G IslIntCos'!R410-'Schedule F IslIntCos'!R410</f>
        <v>0</v>
      </c>
      <c r="P23" s="22">
        <f>'Schedule G IslIntCos'!S410-'Schedule F IslIntCos'!S410</f>
        <v>0</v>
      </c>
      <c r="Q23" s="22">
        <f>'Schedule G IslIntCos'!T410-'Schedule F IslIntCos'!T410</f>
        <v>0</v>
      </c>
      <c r="R23" s="22">
        <f>'Schedule G IslIntCos'!U410-'Schedule F IslIntCos'!U410</f>
        <v>0</v>
      </c>
      <c r="S23" s="22">
        <f>'Schedule G IslIntCos'!V410-'Schedule F IslIntCos'!V410</f>
        <v>0</v>
      </c>
    </row>
    <row r="24" spans="1:19" ht="16.5" x14ac:dyDescent="0.3">
      <c r="A24" s="1">
        <v>11</v>
      </c>
      <c r="B24" s="17" t="s">
        <v>246</v>
      </c>
      <c r="C24" s="34">
        <f>'Schedule G IslIntCos'!F411-'Schedule F IslIntCos'!F411</f>
        <v>175977.47727424139</v>
      </c>
      <c r="D24" s="22">
        <f>'Schedule G IslIntCos'!G411-'Schedule F IslIntCos'!G411</f>
        <v>95477.750817188411</v>
      </c>
      <c r="E24" s="22">
        <f>'Schedule G IslIntCos'!H411-'Schedule F IslIntCos'!H411</f>
        <v>80499.726457053039</v>
      </c>
      <c r="F24" s="22">
        <f>'Schedule G IslIntCos'!I411-'Schedule F IslIntCos'!I411</f>
        <v>0</v>
      </c>
      <c r="G24" s="22">
        <f>'Schedule G IslIntCos'!J411-'Schedule F IslIntCos'!J411</f>
        <v>0</v>
      </c>
      <c r="H24" s="22">
        <f>'Schedule G IslIntCos'!K411-'Schedule F IslIntCos'!K411</f>
        <v>0</v>
      </c>
      <c r="I24" s="22">
        <f>'Schedule G IslIntCos'!L411-'Schedule F IslIntCos'!L411</f>
        <v>0</v>
      </c>
      <c r="J24" s="22">
        <f>'Schedule G IslIntCos'!M411-'Schedule F IslIntCos'!M411</f>
        <v>0</v>
      </c>
      <c r="K24" s="22">
        <f>'Schedule G IslIntCos'!N411-'Schedule F IslIntCos'!N411</f>
        <v>0</v>
      </c>
      <c r="L24" s="22">
        <f>'Schedule G IslIntCos'!O411-'Schedule F IslIntCos'!O411</f>
        <v>0</v>
      </c>
      <c r="M24" s="22">
        <f>'Schedule G IslIntCos'!P411-'Schedule F IslIntCos'!P411</f>
        <v>0</v>
      </c>
      <c r="N24" s="22">
        <f>'Schedule G IslIntCos'!Q411-'Schedule F IslIntCos'!Q411</f>
        <v>0</v>
      </c>
      <c r="O24" s="22">
        <f>'Schedule G IslIntCos'!R411-'Schedule F IslIntCos'!R411</f>
        <v>0</v>
      </c>
      <c r="P24" s="22">
        <f>'Schedule G IslIntCos'!S411-'Schedule F IslIntCos'!S411</f>
        <v>0</v>
      </c>
      <c r="Q24" s="22">
        <f>'Schedule G IslIntCos'!T411-'Schedule F IslIntCos'!T411</f>
        <v>0</v>
      </c>
      <c r="R24" s="22">
        <f>'Schedule G IslIntCos'!U411-'Schedule F IslIntCos'!U411</f>
        <v>0</v>
      </c>
      <c r="S24" s="34">
        <f>'Schedule G IslIntCos'!V411-'Schedule F IslIntCos'!V411</f>
        <v>0</v>
      </c>
    </row>
    <row r="25" spans="1:19" ht="16.5" x14ac:dyDescent="0.3">
      <c r="A25" s="1">
        <v>12</v>
      </c>
      <c r="B25" s="20" t="s">
        <v>247</v>
      </c>
      <c r="C25" s="30">
        <f>'Schedule G IslIntCos'!F412-'Schedule F IslIntCos'!F412</f>
        <v>32107596.128737524</v>
      </c>
      <c r="D25" s="30">
        <f>'Schedule G IslIntCos'!G412-'Schedule F IslIntCos'!G412</f>
        <v>15671473.40043927</v>
      </c>
      <c r="E25" s="30">
        <f>'Schedule G IslIntCos'!H412-'Schedule F IslIntCos'!H412</f>
        <v>16436122.728298252</v>
      </c>
      <c r="F25" s="30">
        <f>'Schedule G IslIntCos'!I412-'Schedule F IslIntCos'!I412</f>
        <v>0</v>
      </c>
      <c r="G25" s="30">
        <f>'Schedule G IslIntCos'!J412-'Schedule F IslIntCos'!J412</f>
        <v>0</v>
      </c>
      <c r="H25" s="30">
        <f>'Schedule G IslIntCos'!K412-'Schedule F IslIntCos'!K412</f>
        <v>0</v>
      </c>
      <c r="I25" s="30">
        <f>'Schedule G IslIntCos'!L412-'Schedule F IslIntCos'!L412</f>
        <v>0</v>
      </c>
      <c r="J25" s="30">
        <f>'Schedule G IslIntCos'!M412-'Schedule F IslIntCos'!M412</f>
        <v>0</v>
      </c>
      <c r="K25" s="30">
        <f>'Schedule G IslIntCos'!N412-'Schedule F IslIntCos'!N412</f>
        <v>0</v>
      </c>
      <c r="L25" s="30">
        <f>'Schedule G IslIntCos'!O412-'Schedule F IslIntCos'!O412</f>
        <v>0</v>
      </c>
      <c r="M25" s="30">
        <f>'Schedule G IslIntCos'!P412-'Schedule F IslIntCos'!P412</f>
        <v>0</v>
      </c>
      <c r="N25" s="30">
        <f>'Schedule G IslIntCos'!Q412-'Schedule F IslIntCos'!Q412</f>
        <v>0</v>
      </c>
      <c r="O25" s="30">
        <f>'Schedule G IslIntCos'!R412-'Schedule F IslIntCos'!R412</f>
        <v>0</v>
      </c>
      <c r="P25" s="30">
        <f>'Schedule G IslIntCos'!S412-'Schedule F IslIntCos'!S412</f>
        <v>0</v>
      </c>
      <c r="Q25" s="30">
        <f>'Schedule G IslIntCos'!T412-'Schedule F IslIntCos'!T412</f>
        <v>0</v>
      </c>
      <c r="R25" s="30">
        <f>'Schedule G IslIntCos'!U412-'Schedule F IslIntCos'!U412</f>
        <v>0</v>
      </c>
      <c r="S25" s="30">
        <f>'Schedule G IslIntCos'!V412-'Schedule F IslIntCos'!V412</f>
        <v>0</v>
      </c>
    </row>
    <row r="26" spans="1:19" ht="17.25" thickBot="1" x14ac:dyDescent="0.35">
      <c r="A26" s="1">
        <v>13</v>
      </c>
      <c r="B26" s="20" t="s">
        <v>248</v>
      </c>
      <c r="C26" s="55">
        <f>'Schedule G IslIntCos'!F413-'Schedule F IslIntCos'!F413</f>
        <v>501963983.38407254</v>
      </c>
      <c r="D26" s="55">
        <f>'Schedule G IslIntCos'!G413-'Schedule F IslIntCos'!G413</f>
        <v>249539930.04984039</v>
      </c>
      <c r="E26" s="55">
        <f>'Schedule G IslIntCos'!H413-'Schedule F IslIntCos'!H413</f>
        <v>252424053.33423227</v>
      </c>
      <c r="F26" s="55">
        <f>'Schedule G IslIntCos'!I413-'Schedule F IslIntCos'!I413</f>
        <v>0</v>
      </c>
      <c r="G26" s="55">
        <f>'Schedule G IslIntCos'!J413-'Schedule F IslIntCos'!J413</f>
        <v>0</v>
      </c>
      <c r="H26" s="55">
        <f>'Schedule G IslIntCos'!K413-'Schedule F IslIntCos'!K413</f>
        <v>0</v>
      </c>
      <c r="I26" s="55">
        <f>'Schedule G IslIntCos'!L413-'Schedule F IslIntCos'!L413</f>
        <v>0</v>
      </c>
      <c r="J26" s="55">
        <f>'Schedule G IslIntCos'!M413-'Schedule F IslIntCos'!M413</f>
        <v>0</v>
      </c>
      <c r="K26" s="55">
        <f>'Schedule G IslIntCos'!N413-'Schedule F IslIntCos'!N413</f>
        <v>0</v>
      </c>
      <c r="L26" s="55">
        <f>'Schedule G IslIntCos'!O413-'Schedule F IslIntCos'!O413</f>
        <v>0</v>
      </c>
      <c r="M26" s="55">
        <f>'Schedule G IslIntCos'!P413-'Schedule F IslIntCos'!P413</f>
        <v>0</v>
      </c>
      <c r="N26" s="55">
        <f>'Schedule G IslIntCos'!Q413-'Schedule F IslIntCos'!Q413</f>
        <v>0</v>
      </c>
      <c r="O26" s="55">
        <f>'Schedule G IslIntCos'!R413-'Schedule F IslIntCos'!R413</f>
        <v>0</v>
      </c>
      <c r="P26" s="55">
        <f>'Schedule G IslIntCos'!S413-'Schedule F IslIntCos'!S413</f>
        <v>0</v>
      </c>
      <c r="Q26" s="55">
        <f>'Schedule G IslIntCos'!T413-'Schedule F IslIntCos'!T413</f>
        <v>0</v>
      </c>
      <c r="R26" s="55">
        <f>'Schedule G IslIntCos'!U413-'Schedule F IslIntCos'!U413</f>
        <v>0</v>
      </c>
      <c r="S26" s="55">
        <f>'Schedule G IslIntCos'!V413-'Schedule F IslIntCos'!V413</f>
        <v>0</v>
      </c>
    </row>
    <row r="27" spans="1:19" ht="17.25" thickTop="1" x14ac:dyDescent="0.3">
      <c r="A27" s="1"/>
      <c r="B27" s="20" t="s">
        <v>255</v>
      </c>
      <c r="C27" s="22">
        <f>'Schedule G IslIntCos'!F414-'Schedule F IslIntCos'!F414</f>
        <v>0</v>
      </c>
      <c r="D27" s="22">
        <f>'Schedule G IslIntCos'!G414-'Schedule F IslIntCos'!G414</f>
        <v>0</v>
      </c>
      <c r="E27" s="22">
        <f>'Schedule G IslIntCos'!H414-'Schedule F IslIntCos'!H414</f>
        <v>0</v>
      </c>
      <c r="F27" s="22">
        <f>'Schedule G IslIntCos'!I414-'Schedule F IslIntCos'!I414</f>
        <v>0</v>
      </c>
      <c r="G27" s="22">
        <f>'Schedule G IslIntCos'!J414-'Schedule F IslIntCos'!J414</f>
        <v>0</v>
      </c>
      <c r="H27" s="22">
        <f>'Schedule G IslIntCos'!K414-'Schedule F IslIntCos'!K414</f>
        <v>0</v>
      </c>
      <c r="I27" s="22">
        <f>'Schedule G IslIntCos'!L414-'Schedule F IslIntCos'!L414</f>
        <v>0</v>
      </c>
      <c r="J27" s="22">
        <f>'Schedule G IslIntCos'!M414-'Schedule F IslIntCos'!M414</f>
        <v>0</v>
      </c>
      <c r="K27" s="22">
        <f>'Schedule G IslIntCos'!N414-'Schedule F IslIntCos'!N414</f>
        <v>0</v>
      </c>
      <c r="L27" s="22">
        <f>'Schedule G IslIntCos'!O414-'Schedule F IslIntCos'!O414</f>
        <v>0</v>
      </c>
      <c r="M27" s="22">
        <f>'Schedule G IslIntCos'!P414-'Schedule F IslIntCos'!P414</f>
        <v>0</v>
      </c>
      <c r="N27" s="22">
        <f>'Schedule G IslIntCos'!Q414-'Schedule F IslIntCos'!Q414</f>
        <v>0</v>
      </c>
      <c r="O27" s="22">
        <f>'Schedule G IslIntCos'!R414-'Schedule F IslIntCos'!R414</f>
        <v>0</v>
      </c>
      <c r="P27" s="22">
        <f>'Schedule G IslIntCos'!S414-'Schedule F IslIntCos'!S414</f>
        <v>0</v>
      </c>
      <c r="Q27" s="22">
        <f>'Schedule G IslIntCos'!T414-'Schedule F IslIntCos'!T414</f>
        <v>0</v>
      </c>
      <c r="R27" s="22">
        <f>'Schedule G IslIntCos'!U414-'Schedule F IslIntCos'!U414</f>
        <v>0</v>
      </c>
      <c r="S27" s="22">
        <f>'Schedule G IslIntCos'!V414-'Schedule F IslIntCos'!V414</f>
        <v>0</v>
      </c>
    </row>
    <row r="28" spans="1:19" ht="16.5" x14ac:dyDescent="0.3">
      <c r="A28" s="1">
        <v>14</v>
      </c>
      <c r="B28" s="6" t="s">
        <v>224</v>
      </c>
      <c r="C28" s="22">
        <f>'Schedule G IslIntCos'!F415-'Schedule F IslIntCos'!F415</f>
        <v>0</v>
      </c>
      <c r="D28" s="22">
        <f>'Schedule G IslIntCos'!G415-'Schedule F IslIntCos'!G415</f>
        <v>0</v>
      </c>
      <c r="E28" s="22">
        <f>'Schedule G IslIntCos'!H415-'Schedule F IslIntCos'!H415</f>
        <v>0</v>
      </c>
      <c r="F28" s="22">
        <f>'Schedule G IslIntCos'!I415-'Schedule F IslIntCos'!I415</f>
        <v>0</v>
      </c>
      <c r="G28" s="22">
        <f>'Schedule G IslIntCos'!J415-'Schedule F IslIntCos'!J415</f>
        <v>0</v>
      </c>
      <c r="H28" s="22">
        <f>'Schedule G IslIntCos'!K415-'Schedule F IslIntCos'!K415</f>
        <v>0</v>
      </c>
      <c r="I28" s="22">
        <f>'Schedule G IslIntCos'!L415-'Schedule F IslIntCos'!L415</f>
        <v>0</v>
      </c>
      <c r="J28" s="22">
        <f>'Schedule G IslIntCos'!M415-'Schedule F IslIntCos'!M415</f>
        <v>0</v>
      </c>
      <c r="K28" s="22">
        <f>'Schedule G IslIntCos'!N415-'Schedule F IslIntCos'!N415</f>
        <v>0</v>
      </c>
      <c r="L28" s="22">
        <f>'Schedule G IslIntCos'!O415-'Schedule F IslIntCos'!O415</f>
        <v>0</v>
      </c>
      <c r="M28" s="22">
        <f>'Schedule G IslIntCos'!P415-'Schedule F IslIntCos'!P415</f>
        <v>0</v>
      </c>
      <c r="N28" s="22">
        <f>'Schedule G IslIntCos'!Q415-'Schedule F IslIntCos'!Q415</f>
        <v>0</v>
      </c>
      <c r="O28" s="22">
        <f>'Schedule G IslIntCos'!R415-'Schedule F IslIntCos'!R415</f>
        <v>0</v>
      </c>
      <c r="P28" s="22">
        <f>'Schedule G IslIntCos'!S415-'Schedule F IslIntCos'!S415</f>
        <v>0</v>
      </c>
      <c r="Q28" s="22">
        <f>'Schedule G IslIntCos'!T415-'Schedule F IslIntCos'!T415</f>
        <v>0</v>
      </c>
      <c r="R28" s="22">
        <f>'Schedule G IslIntCos'!U415-'Schedule F IslIntCos'!U415</f>
        <v>0</v>
      </c>
      <c r="S28" s="22">
        <f>'Schedule G IslIntCos'!V415-'Schedule F IslIntCos'!V415</f>
        <v>0</v>
      </c>
    </row>
    <row r="29" spans="1:19" ht="16.5" x14ac:dyDescent="0.3">
      <c r="A29" s="1">
        <v>15</v>
      </c>
      <c r="B29" s="17" t="s">
        <v>227</v>
      </c>
      <c r="C29" s="22">
        <f>'Schedule G IslIntCos'!F416-'Schedule F IslIntCos'!F416</f>
        <v>0</v>
      </c>
      <c r="D29" s="22">
        <f>'Schedule G IslIntCos'!G416-'Schedule F IslIntCos'!G416</f>
        <v>0</v>
      </c>
      <c r="E29" s="22">
        <f>'Schedule G IslIntCos'!H416-'Schedule F IslIntCos'!H416</f>
        <v>0</v>
      </c>
      <c r="F29" s="22">
        <f>'Schedule G IslIntCos'!I416-'Schedule F IslIntCos'!I416</f>
        <v>0</v>
      </c>
      <c r="G29" s="22">
        <f>'Schedule G IslIntCos'!J416-'Schedule F IslIntCos'!J416</f>
        <v>0</v>
      </c>
      <c r="H29" s="22">
        <f>'Schedule G IslIntCos'!K416-'Schedule F IslIntCos'!K416</f>
        <v>0</v>
      </c>
      <c r="I29" s="22">
        <f>'Schedule G IslIntCos'!L416-'Schedule F IslIntCos'!L416</f>
        <v>0</v>
      </c>
      <c r="J29" s="22">
        <f>'Schedule G IslIntCos'!M416-'Schedule F IslIntCos'!M416</f>
        <v>0</v>
      </c>
      <c r="K29" s="22">
        <f>'Schedule G IslIntCos'!N416-'Schedule F IslIntCos'!N416</f>
        <v>0</v>
      </c>
      <c r="L29" s="22">
        <f>'Schedule G IslIntCos'!O416-'Schedule F IslIntCos'!O416</f>
        <v>0</v>
      </c>
      <c r="M29" s="22">
        <f>'Schedule G IslIntCos'!P416-'Schedule F IslIntCos'!P416</f>
        <v>0</v>
      </c>
      <c r="N29" s="22">
        <f>'Schedule G IslIntCos'!Q416-'Schedule F IslIntCos'!Q416</f>
        <v>0</v>
      </c>
      <c r="O29" s="22">
        <f>'Schedule G IslIntCos'!R416-'Schedule F IslIntCos'!R416</f>
        <v>0</v>
      </c>
      <c r="P29" s="22">
        <f>'Schedule G IslIntCos'!S416-'Schedule F IslIntCos'!S416</f>
        <v>0</v>
      </c>
      <c r="Q29" s="22">
        <f>'Schedule G IslIntCos'!T416-'Schedule F IslIntCos'!T416</f>
        <v>0</v>
      </c>
      <c r="R29" s="22">
        <f>'Schedule G IslIntCos'!U416-'Schedule F IslIntCos'!U416</f>
        <v>0</v>
      </c>
      <c r="S29" s="22">
        <f>'Schedule G IslIntCos'!V416-'Schedule F IslIntCos'!V416</f>
        <v>0</v>
      </c>
    </row>
    <row r="30" spans="1:19" ht="16.5" x14ac:dyDescent="0.3">
      <c r="A30" s="1">
        <v>16</v>
      </c>
      <c r="B30" s="17" t="s">
        <v>229</v>
      </c>
      <c r="C30" s="22">
        <f>'Schedule G IslIntCos'!F417-'Schedule F IslIntCos'!F417</f>
        <v>0</v>
      </c>
      <c r="D30" s="22">
        <f>'Schedule G IslIntCos'!G417-'Schedule F IslIntCos'!G417</f>
        <v>0</v>
      </c>
      <c r="E30" s="22">
        <f>'Schedule G IslIntCos'!H417-'Schedule F IslIntCos'!H417</f>
        <v>0</v>
      </c>
      <c r="F30" s="22">
        <f>'Schedule G IslIntCos'!I417-'Schedule F IslIntCos'!I417</f>
        <v>0</v>
      </c>
      <c r="G30" s="22">
        <f>'Schedule G IslIntCos'!J417-'Schedule F IslIntCos'!J417</f>
        <v>0</v>
      </c>
      <c r="H30" s="22">
        <f>'Schedule G IslIntCos'!K417-'Schedule F IslIntCos'!K417</f>
        <v>0</v>
      </c>
      <c r="I30" s="22">
        <f>'Schedule G IslIntCos'!L417-'Schedule F IslIntCos'!L417</f>
        <v>0</v>
      </c>
      <c r="J30" s="22">
        <f>'Schedule G IslIntCos'!M417-'Schedule F IslIntCos'!M417</f>
        <v>0</v>
      </c>
      <c r="K30" s="22">
        <f>'Schedule G IslIntCos'!N417-'Schedule F IslIntCos'!N417</f>
        <v>0</v>
      </c>
      <c r="L30" s="22">
        <f>'Schedule G IslIntCos'!O417-'Schedule F IslIntCos'!O417</f>
        <v>0</v>
      </c>
      <c r="M30" s="22">
        <f>'Schedule G IslIntCos'!P417-'Schedule F IslIntCos'!P417</f>
        <v>0</v>
      </c>
      <c r="N30" s="22">
        <f>'Schedule G IslIntCos'!Q417-'Schedule F IslIntCos'!Q417</f>
        <v>0</v>
      </c>
      <c r="O30" s="22">
        <f>'Schedule G IslIntCos'!R417-'Schedule F IslIntCos'!R417</f>
        <v>0</v>
      </c>
      <c r="P30" s="22">
        <f>'Schedule G IslIntCos'!S417-'Schedule F IslIntCos'!S417</f>
        <v>0</v>
      </c>
      <c r="Q30" s="22">
        <f>'Schedule G IslIntCos'!T417-'Schedule F IslIntCos'!T417</f>
        <v>0</v>
      </c>
      <c r="R30" s="22">
        <f>'Schedule G IslIntCos'!U417-'Schedule F IslIntCos'!U417</f>
        <v>0</v>
      </c>
      <c r="S30" s="22">
        <f>'Schedule G IslIntCos'!V417-'Schedule F IslIntCos'!V417</f>
        <v>0</v>
      </c>
    </row>
    <row r="31" spans="1:19" ht="16.5" x14ac:dyDescent="0.3">
      <c r="A31" s="1"/>
      <c r="B31" s="20" t="s">
        <v>230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</row>
    <row r="32" spans="1:19" ht="16.5" x14ac:dyDescent="0.3">
      <c r="A32" s="1">
        <v>17</v>
      </c>
      <c r="B32" s="17" t="s">
        <v>232</v>
      </c>
      <c r="C32" s="22">
        <f>'Schedule G IslIntCos'!F419-'Schedule F IslIntCos'!F419</f>
        <v>0</v>
      </c>
      <c r="D32" s="22">
        <f>'Schedule G IslIntCos'!G419-'Schedule F IslIntCos'!G419</f>
        <v>0</v>
      </c>
      <c r="E32" s="22">
        <f>'Schedule G IslIntCos'!H419-'Schedule F IslIntCos'!H419</f>
        <v>0</v>
      </c>
      <c r="F32" s="22">
        <f>'Schedule G IslIntCos'!I419-'Schedule F IslIntCos'!I419</f>
        <v>0</v>
      </c>
      <c r="G32" s="22">
        <f>'Schedule G IslIntCos'!J419-'Schedule F IslIntCos'!J419</f>
        <v>0</v>
      </c>
      <c r="H32" s="22">
        <f>'Schedule G IslIntCos'!K419-'Schedule F IslIntCos'!K419</f>
        <v>0</v>
      </c>
      <c r="I32" s="22">
        <f>'Schedule G IslIntCos'!L419-'Schedule F IslIntCos'!L419</f>
        <v>0</v>
      </c>
      <c r="J32" s="22">
        <f>'Schedule G IslIntCos'!M419-'Schedule F IslIntCos'!M419</f>
        <v>0</v>
      </c>
      <c r="K32" s="22">
        <f>'Schedule G IslIntCos'!N419-'Schedule F IslIntCos'!N419</f>
        <v>0</v>
      </c>
      <c r="L32" s="22">
        <f>'Schedule G IslIntCos'!O419-'Schedule F IslIntCos'!O419</f>
        <v>0</v>
      </c>
      <c r="M32" s="22">
        <f>'Schedule G IslIntCos'!P419-'Schedule F IslIntCos'!P419</f>
        <v>0</v>
      </c>
      <c r="N32" s="22">
        <f>'Schedule G IslIntCos'!Q419-'Schedule F IslIntCos'!Q419</f>
        <v>0</v>
      </c>
      <c r="O32" s="22">
        <f>'Schedule G IslIntCos'!R419-'Schedule F IslIntCos'!R419</f>
        <v>0</v>
      </c>
      <c r="P32" s="22">
        <f>'Schedule G IslIntCos'!S419-'Schedule F IslIntCos'!S419</f>
        <v>0</v>
      </c>
      <c r="Q32" s="22">
        <f>'Schedule G IslIntCos'!T419-'Schedule F IslIntCos'!T419</f>
        <v>0</v>
      </c>
      <c r="R32" s="22">
        <f>'Schedule G IslIntCos'!U419-'Schedule F IslIntCos'!U419</f>
        <v>0</v>
      </c>
      <c r="S32" s="22">
        <f>'Schedule G IslIntCos'!V419-'Schedule F IslIntCos'!V419</f>
        <v>0</v>
      </c>
    </row>
    <row r="33" spans="1:19" ht="16.5" x14ac:dyDescent="0.3">
      <c r="A33" s="1">
        <v>18</v>
      </c>
      <c r="B33" s="17" t="s">
        <v>234</v>
      </c>
      <c r="C33" s="22">
        <f>'Schedule G IslIntCos'!F420-'Schedule F IslIntCos'!F420</f>
        <v>0</v>
      </c>
      <c r="D33" s="22">
        <f>'Schedule G IslIntCos'!G420-'Schedule F IslIntCos'!G420</f>
        <v>0</v>
      </c>
      <c r="E33" s="22">
        <f>'Schedule G IslIntCos'!H420-'Schedule F IslIntCos'!H420</f>
        <v>0</v>
      </c>
      <c r="F33" s="22">
        <f>'Schedule G IslIntCos'!I420-'Schedule F IslIntCos'!I420</f>
        <v>0</v>
      </c>
      <c r="G33" s="22">
        <f>'Schedule G IslIntCos'!J420-'Schedule F IslIntCos'!J420</f>
        <v>0</v>
      </c>
      <c r="H33" s="22">
        <f>'Schedule G IslIntCos'!K420-'Schedule F IslIntCos'!K420</f>
        <v>0</v>
      </c>
      <c r="I33" s="22">
        <f>'Schedule G IslIntCos'!L420-'Schedule F IslIntCos'!L420</f>
        <v>0</v>
      </c>
      <c r="J33" s="22">
        <f>'Schedule G IslIntCos'!M420-'Schedule F IslIntCos'!M420</f>
        <v>0</v>
      </c>
      <c r="K33" s="22">
        <f>'Schedule G IslIntCos'!N420-'Schedule F IslIntCos'!N420</f>
        <v>0</v>
      </c>
      <c r="L33" s="22">
        <f>'Schedule G IslIntCos'!O420-'Schedule F IslIntCos'!O420</f>
        <v>0</v>
      </c>
      <c r="M33" s="22">
        <f>'Schedule G IslIntCos'!P420-'Schedule F IslIntCos'!P420</f>
        <v>0</v>
      </c>
      <c r="N33" s="22">
        <f>'Schedule G IslIntCos'!Q420-'Schedule F IslIntCos'!Q420</f>
        <v>0</v>
      </c>
      <c r="O33" s="22">
        <f>'Schedule G IslIntCos'!R420-'Schedule F IslIntCos'!R420</f>
        <v>0</v>
      </c>
      <c r="P33" s="22">
        <f>'Schedule G IslIntCos'!S420-'Schedule F IslIntCos'!S420</f>
        <v>0</v>
      </c>
      <c r="Q33" s="22">
        <f>'Schedule G IslIntCos'!T420-'Schedule F IslIntCos'!T420</f>
        <v>0</v>
      </c>
      <c r="R33" s="22">
        <f>'Schedule G IslIntCos'!U420-'Schedule F IslIntCos'!U420</f>
        <v>0</v>
      </c>
      <c r="S33" s="22">
        <f>'Schedule G IslIntCos'!V420-'Schedule F IslIntCos'!V420</f>
        <v>0</v>
      </c>
    </row>
    <row r="34" spans="1:19" ht="16.5" x14ac:dyDescent="0.3">
      <c r="A34" s="1">
        <v>19</v>
      </c>
      <c r="B34" s="17" t="s">
        <v>236</v>
      </c>
      <c r="C34" s="22">
        <f>'Schedule G IslIntCos'!F421-'Schedule F IslIntCos'!F421</f>
        <v>0</v>
      </c>
      <c r="D34" s="22">
        <f>'Schedule G IslIntCos'!G421-'Schedule F IslIntCos'!G421</f>
        <v>0</v>
      </c>
      <c r="E34" s="22">
        <f>'Schedule G IslIntCos'!H421-'Schedule F IslIntCos'!H421</f>
        <v>0</v>
      </c>
      <c r="F34" s="22">
        <f>'Schedule G IslIntCos'!I421-'Schedule F IslIntCos'!I421</f>
        <v>0</v>
      </c>
      <c r="G34" s="22">
        <f>'Schedule G IslIntCos'!J421-'Schedule F IslIntCos'!J421</f>
        <v>0</v>
      </c>
      <c r="H34" s="22">
        <f>'Schedule G IslIntCos'!K421-'Schedule F IslIntCos'!K421</f>
        <v>0</v>
      </c>
      <c r="I34" s="22">
        <f>'Schedule G IslIntCos'!L421-'Schedule F IslIntCos'!L421</f>
        <v>0</v>
      </c>
      <c r="J34" s="22">
        <f>'Schedule G IslIntCos'!M421-'Schedule F IslIntCos'!M421</f>
        <v>0</v>
      </c>
      <c r="K34" s="22">
        <f>'Schedule G IslIntCos'!N421-'Schedule F IslIntCos'!N421</f>
        <v>0</v>
      </c>
      <c r="L34" s="22">
        <f>'Schedule G IslIntCos'!O421-'Schedule F IslIntCos'!O421</f>
        <v>0</v>
      </c>
      <c r="M34" s="22">
        <f>'Schedule G IslIntCos'!P421-'Schedule F IslIntCos'!P421</f>
        <v>0</v>
      </c>
      <c r="N34" s="22">
        <f>'Schedule G IslIntCos'!Q421-'Schedule F IslIntCos'!Q421</f>
        <v>0</v>
      </c>
      <c r="O34" s="22">
        <f>'Schedule G IslIntCos'!R421-'Schedule F IslIntCos'!R421</f>
        <v>0</v>
      </c>
      <c r="P34" s="22">
        <f>'Schedule G IslIntCos'!S421-'Schedule F IslIntCos'!S421</f>
        <v>0</v>
      </c>
      <c r="Q34" s="22">
        <f>'Schedule G IslIntCos'!T421-'Schedule F IslIntCos'!T421</f>
        <v>0</v>
      </c>
      <c r="R34" s="22">
        <f>'Schedule G IslIntCos'!U421-'Schedule F IslIntCos'!U421</f>
        <v>0</v>
      </c>
      <c r="S34" s="22">
        <f>'Schedule G IslIntCos'!V421-'Schedule F IslIntCos'!V421</f>
        <v>0</v>
      </c>
    </row>
    <row r="35" spans="1:19" ht="16.5" x14ac:dyDescent="0.3">
      <c r="A35" s="1">
        <v>20</v>
      </c>
      <c r="B35" s="17" t="s">
        <v>238</v>
      </c>
      <c r="C35" s="22">
        <f>'Schedule G IslIntCos'!F422-'Schedule F IslIntCos'!F422</f>
        <v>0</v>
      </c>
      <c r="D35" s="22">
        <f>'Schedule G IslIntCos'!G422-'Schedule F IslIntCos'!G422</f>
        <v>0</v>
      </c>
      <c r="E35" s="22">
        <f>'Schedule G IslIntCos'!H422-'Schedule F IslIntCos'!H422</f>
        <v>0</v>
      </c>
      <c r="F35" s="22">
        <f>'Schedule G IslIntCos'!I422-'Schedule F IslIntCos'!I422</f>
        <v>0</v>
      </c>
      <c r="G35" s="22">
        <f>'Schedule G IslIntCos'!J422-'Schedule F IslIntCos'!J422</f>
        <v>0</v>
      </c>
      <c r="H35" s="22">
        <f>'Schedule G IslIntCos'!K422-'Schedule F IslIntCos'!K422</f>
        <v>0</v>
      </c>
      <c r="I35" s="22">
        <f>'Schedule G IslIntCos'!L422-'Schedule F IslIntCos'!L422</f>
        <v>0</v>
      </c>
      <c r="J35" s="22">
        <f>'Schedule G IslIntCos'!M422-'Schedule F IslIntCos'!M422</f>
        <v>0</v>
      </c>
      <c r="K35" s="22">
        <f>'Schedule G IslIntCos'!N422-'Schedule F IslIntCos'!N422</f>
        <v>0</v>
      </c>
      <c r="L35" s="22">
        <f>'Schedule G IslIntCos'!O422-'Schedule F IslIntCos'!O422</f>
        <v>0</v>
      </c>
      <c r="M35" s="22">
        <f>'Schedule G IslIntCos'!P422-'Schedule F IslIntCos'!P422</f>
        <v>0</v>
      </c>
      <c r="N35" s="22">
        <f>'Schedule G IslIntCos'!Q422-'Schedule F IslIntCos'!Q422</f>
        <v>0</v>
      </c>
      <c r="O35" s="22">
        <f>'Schedule G IslIntCos'!R422-'Schedule F IslIntCos'!R422</f>
        <v>0</v>
      </c>
      <c r="P35" s="22">
        <f>'Schedule G IslIntCos'!S422-'Schedule F IslIntCos'!S422</f>
        <v>0</v>
      </c>
      <c r="Q35" s="22">
        <f>'Schedule G IslIntCos'!T422-'Schedule F IslIntCos'!T422</f>
        <v>0</v>
      </c>
      <c r="R35" s="22">
        <f>'Schedule G IslIntCos'!U422-'Schedule F IslIntCos'!U422</f>
        <v>0</v>
      </c>
      <c r="S35" s="22">
        <f>'Schedule G IslIntCos'!V422-'Schedule F IslIntCos'!V422</f>
        <v>0</v>
      </c>
    </row>
    <row r="36" spans="1:19" ht="16.5" x14ac:dyDescent="0.3">
      <c r="A36" s="1">
        <v>21</v>
      </c>
      <c r="B36" s="17" t="s">
        <v>240</v>
      </c>
      <c r="C36" s="22">
        <f>'Schedule G IslIntCos'!F423-'Schedule F IslIntCos'!F423</f>
        <v>0</v>
      </c>
      <c r="D36" s="22">
        <f>'Schedule G IslIntCos'!G423-'Schedule F IslIntCos'!G423</f>
        <v>0</v>
      </c>
      <c r="E36" s="22">
        <f>'Schedule G IslIntCos'!H423-'Schedule F IslIntCos'!H423</f>
        <v>0</v>
      </c>
      <c r="F36" s="22">
        <f>'Schedule G IslIntCos'!I423-'Schedule F IslIntCos'!I423</f>
        <v>0</v>
      </c>
      <c r="G36" s="22">
        <f>'Schedule G IslIntCos'!J423-'Schedule F IslIntCos'!J423</f>
        <v>0</v>
      </c>
      <c r="H36" s="22">
        <f>'Schedule G IslIntCos'!K423-'Schedule F IslIntCos'!K423</f>
        <v>0</v>
      </c>
      <c r="I36" s="22">
        <f>'Schedule G IslIntCos'!L423-'Schedule F IslIntCos'!L423</f>
        <v>0</v>
      </c>
      <c r="J36" s="22">
        <f>'Schedule G IslIntCos'!M423-'Schedule F IslIntCos'!M423</f>
        <v>0</v>
      </c>
      <c r="K36" s="22">
        <f>'Schedule G IslIntCos'!N423-'Schedule F IslIntCos'!N423</f>
        <v>0</v>
      </c>
      <c r="L36" s="22">
        <f>'Schedule G IslIntCos'!O423-'Schedule F IslIntCos'!O423</f>
        <v>0</v>
      </c>
      <c r="M36" s="22">
        <f>'Schedule G IslIntCos'!P423-'Schedule F IslIntCos'!P423</f>
        <v>0</v>
      </c>
      <c r="N36" s="22">
        <f>'Schedule G IslIntCos'!Q423-'Schedule F IslIntCos'!Q423</f>
        <v>0</v>
      </c>
      <c r="O36" s="22">
        <f>'Schedule G IslIntCos'!R423-'Schedule F IslIntCos'!R423</f>
        <v>0</v>
      </c>
      <c r="P36" s="22">
        <f>'Schedule G IslIntCos'!S423-'Schedule F IslIntCos'!S423</f>
        <v>0</v>
      </c>
      <c r="Q36" s="22">
        <f>'Schedule G IslIntCos'!T423-'Schedule F IslIntCos'!T423</f>
        <v>0</v>
      </c>
      <c r="R36" s="22">
        <f>'Schedule G IslIntCos'!U423-'Schedule F IslIntCos'!U423</f>
        <v>0</v>
      </c>
      <c r="S36" s="22">
        <f>'Schedule G IslIntCos'!V423-'Schedule F IslIntCos'!V423</f>
        <v>0</v>
      </c>
    </row>
    <row r="37" spans="1:19" ht="16.5" x14ac:dyDescent="0.3">
      <c r="A37" s="1">
        <v>22</v>
      </c>
      <c r="B37" s="17" t="s">
        <v>242</v>
      </c>
      <c r="C37" s="22">
        <f>'Schedule G IslIntCos'!F424-'Schedule F IslIntCos'!F424</f>
        <v>0</v>
      </c>
      <c r="D37" s="22">
        <f>'Schedule G IslIntCos'!G424-'Schedule F IslIntCos'!G424</f>
        <v>0</v>
      </c>
      <c r="E37" s="22">
        <f>'Schedule G IslIntCos'!H424-'Schedule F IslIntCos'!H424</f>
        <v>0</v>
      </c>
      <c r="F37" s="22">
        <f>'Schedule G IslIntCos'!I424-'Schedule F IslIntCos'!I424</f>
        <v>0</v>
      </c>
      <c r="G37" s="22">
        <f>'Schedule G IslIntCos'!J424-'Schedule F IslIntCos'!J424</f>
        <v>0</v>
      </c>
      <c r="H37" s="22">
        <f>'Schedule G IslIntCos'!K424-'Schedule F IslIntCos'!K424</f>
        <v>0</v>
      </c>
      <c r="I37" s="22">
        <f>'Schedule G IslIntCos'!L424-'Schedule F IslIntCos'!L424</f>
        <v>0</v>
      </c>
      <c r="J37" s="22">
        <f>'Schedule G IslIntCos'!M424-'Schedule F IslIntCos'!M424</f>
        <v>0</v>
      </c>
      <c r="K37" s="22">
        <f>'Schedule G IslIntCos'!N424-'Schedule F IslIntCos'!N424</f>
        <v>0</v>
      </c>
      <c r="L37" s="22">
        <f>'Schedule G IslIntCos'!O424-'Schedule F IslIntCos'!O424</f>
        <v>0</v>
      </c>
      <c r="M37" s="22">
        <f>'Schedule G IslIntCos'!P424-'Schedule F IslIntCos'!P424</f>
        <v>0</v>
      </c>
      <c r="N37" s="22">
        <f>'Schedule G IslIntCos'!Q424-'Schedule F IslIntCos'!Q424</f>
        <v>0</v>
      </c>
      <c r="O37" s="22">
        <f>'Schedule G IslIntCos'!R424-'Schedule F IslIntCos'!R424</f>
        <v>0</v>
      </c>
      <c r="P37" s="22">
        <f>'Schedule G IslIntCos'!S424-'Schedule F IslIntCos'!S424</f>
        <v>0</v>
      </c>
      <c r="Q37" s="22">
        <f>'Schedule G IslIntCos'!T424-'Schedule F IslIntCos'!T424</f>
        <v>0</v>
      </c>
      <c r="R37" s="22">
        <f>'Schedule G IslIntCos'!U424-'Schedule F IslIntCos'!U424</f>
        <v>0</v>
      </c>
      <c r="S37" s="22">
        <f>'Schedule G IslIntCos'!V424-'Schedule F IslIntCos'!V424</f>
        <v>0</v>
      </c>
    </row>
    <row r="38" spans="1:19" ht="16.5" x14ac:dyDescent="0.3">
      <c r="A38" s="1">
        <v>23</v>
      </c>
      <c r="B38" s="17" t="s">
        <v>244</v>
      </c>
      <c r="C38" s="22">
        <f>'Schedule G IslIntCos'!F425-'Schedule F IslIntCos'!F425</f>
        <v>0</v>
      </c>
      <c r="D38" s="22">
        <f>'Schedule G IslIntCos'!G425-'Schedule F IslIntCos'!G425</f>
        <v>0</v>
      </c>
      <c r="E38" s="22">
        <f>'Schedule G IslIntCos'!H425-'Schedule F IslIntCos'!H425</f>
        <v>0</v>
      </c>
      <c r="F38" s="22">
        <f>'Schedule G IslIntCos'!I425-'Schedule F IslIntCos'!I425</f>
        <v>0</v>
      </c>
      <c r="G38" s="22">
        <f>'Schedule G IslIntCos'!J425-'Schedule F IslIntCos'!J425</f>
        <v>0</v>
      </c>
      <c r="H38" s="22">
        <f>'Schedule G IslIntCos'!K425-'Schedule F IslIntCos'!K425</f>
        <v>0</v>
      </c>
      <c r="I38" s="22">
        <f>'Schedule G IslIntCos'!L425-'Schedule F IslIntCos'!L425</f>
        <v>0</v>
      </c>
      <c r="J38" s="22">
        <f>'Schedule G IslIntCos'!M425-'Schedule F IslIntCos'!M425</f>
        <v>0</v>
      </c>
      <c r="K38" s="22">
        <f>'Schedule G IslIntCos'!N425-'Schedule F IslIntCos'!N425</f>
        <v>0</v>
      </c>
      <c r="L38" s="22">
        <f>'Schedule G IslIntCos'!O425-'Schedule F IslIntCos'!O425</f>
        <v>0</v>
      </c>
      <c r="M38" s="22">
        <f>'Schedule G IslIntCos'!P425-'Schedule F IslIntCos'!P425</f>
        <v>0</v>
      </c>
      <c r="N38" s="22">
        <f>'Schedule G IslIntCos'!Q425-'Schedule F IslIntCos'!Q425</f>
        <v>0</v>
      </c>
      <c r="O38" s="22">
        <f>'Schedule G IslIntCos'!R425-'Schedule F IslIntCos'!R425</f>
        <v>0</v>
      </c>
      <c r="P38" s="22">
        <f>'Schedule G IslIntCos'!S425-'Schedule F IslIntCos'!S425</f>
        <v>0</v>
      </c>
      <c r="Q38" s="22">
        <f>'Schedule G IslIntCos'!T425-'Schedule F IslIntCos'!T425</f>
        <v>0</v>
      </c>
      <c r="R38" s="22">
        <f>'Schedule G IslIntCos'!U425-'Schedule F IslIntCos'!U425</f>
        <v>0</v>
      </c>
      <c r="S38" s="22">
        <f>'Schedule G IslIntCos'!V425-'Schedule F IslIntCos'!V425</f>
        <v>0</v>
      </c>
    </row>
    <row r="39" spans="1:19" ht="16.5" x14ac:dyDescent="0.3">
      <c r="A39" s="1">
        <v>24</v>
      </c>
      <c r="B39" s="17" t="s">
        <v>246</v>
      </c>
      <c r="C39" s="34">
        <f>'Schedule G IslIntCos'!F426-'Schedule F IslIntCos'!F426</f>
        <v>0</v>
      </c>
      <c r="D39" s="22">
        <f>'Schedule G IslIntCos'!G426-'Schedule F IslIntCos'!G426</f>
        <v>0</v>
      </c>
      <c r="E39" s="22">
        <f>'Schedule G IslIntCos'!H426-'Schedule F IslIntCos'!H426</f>
        <v>0</v>
      </c>
      <c r="F39" s="22">
        <f>'Schedule G IslIntCos'!I426-'Schedule F IslIntCos'!I426</f>
        <v>0</v>
      </c>
      <c r="G39" s="22">
        <f>'Schedule G IslIntCos'!J426-'Schedule F IslIntCos'!J426</f>
        <v>0</v>
      </c>
      <c r="H39" s="22">
        <f>'Schedule G IslIntCos'!K426-'Schedule F IslIntCos'!K426</f>
        <v>0</v>
      </c>
      <c r="I39" s="22">
        <f>'Schedule G IslIntCos'!L426-'Schedule F IslIntCos'!L426</f>
        <v>0</v>
      </c>
      <c r="J39" s="22">
        <f>'Schedule G IslIntCos'!M426-'Schedule F IslIntCos'!M426</f>
        <v>0</v>
      </c>
      <c r="K39" s="22">
        <f>'Schedule G IslIntCos'!N426-'Schedule F IslIntCos'!N426</f>
        <v>0</v>
      </c>
      <c r="L39" s="22">
        <f>'Schedule G IslIntCos'!O426-'Schedule F IslIntCos'!O426</f>
        <v>0</v>
      </c>
      <c r="M39" s="22">
        <f>'Schedule G IslIntCos'!P426-'Schedule F IslIntCos'!P426</f>
        <v>0</v>
      </c>
      <c r="N39" s="22">
        <f>'Schedule G IslIntCos'!Q426-'Schedule F IslIntCos'!Q426</f>
        <v>0</v>
      </c>
      <c r="O39" s="22">
        <f>'Schedule G IslIntCos'!R426-'Schedule F IslIntCos'!R426</f>
        <v>0</v>
      </c>
      <c r="P39" s="22">
        <f>'Schedule G IslIntCos'!S426-'Schedule F IslIntCos'!S426</f>
        <v>0</v>
      </c>
      <c r="Q39" s="22">
        <f>'Schedule G IslIntCos'!T426-'Schedule F IslIntCos'!T426</f>
        <v>0</v>
      </c>
      <c r="R39" s="22">
        <f>'Schedule G IslIntCos'!U426-'Schedule F IslIntCos'!U426</f>
        <v>0</v>
      </c>
      <c r="S39" s="34">
        <f>'Schedule G IslIntCos'!V426-'Schedule F IslIntCos'!V426</f>
        <v>0</v>
      </c>
    </row>
    <row r="40" spans="1:19" ht="16.5" x14ac:dyDescent="0.3">
      <c r="A40" s="1">
        <v>25</v>
      </c>
      <c r="B40" s="20" t="s">
        <v>247</v>
      </c>
      <c r="C40" s="30">
        <f>'Schedule G IslIntCos'!F427-'Schedule F IslIntCos'!F427</f>
        <v>0</v>
      </c>
      <c r="D40" s="30">
        <f>'Schedule G IslIntCos'!G427-'Schedule F IslIntCos'!G427</f>
        <v>0</v>
      </c>
      <c r="E40" s="30">
        <f>'Schedule G IslIntCos'!H427-'Schedule F IslIntCos'!H427</f>
        <v>0</v>
      </c>
      <c r="F40" s="30">
        <f>'Schedule G IslIntCos'!I427-'Schedule F IslIntCos'!I427</f>
        <v>0</v>
      </c>
      <c r="G40" s="30">
        <f>'Schedule G IslIntCos'!J427-'Schedule F IslIntCos'!J427</f>
        <v>0</v>
      </c>
      <c r="H40" s="30">
        <f>'Schedule G IslIntCos'!K427-'Schedule F IslIntCos'!K427</f>
        <v>0</v>
      </c>
      <c r="I40" s="30">
        <f>'Schedule G IslIntCos'!L427-'Schedule F IslIntCos'!L427</f>
        <v>0</v>
      </c>
      <c r="J40" s="30">
        <f>'Schedule G IslIntCos'!M427-'Schedule F IslIntCos'!M427</f>
        <v>0</v>
      </c>
      <c r="K40" s="30">
        <f>'Schedule G IslIntCos'!N427-'Schedule F IslIntCos'!N427</f>
        <v>0</v>
      </c>
      <c r="L40" s="30">
        <f>'Schedule G IslIntCos'!O427-'Schedule F IslIntCos'!O427</f>
        <v>0</v>
      </c>
      <c r="M40" s="30">
        <f>'Schedule G IslIntCos'!P427-'Schedule F IslIntCos'!P427</f>
        <v>0</v>
      </c>
      <c r="N40" s="30">
        <f>'Schedule G IslIntCos'!Q427-'Schedule F IslIntCos'!Q427</f>
        <v>0</v>
      </c>
      <c r="O40" s="30">
        <f>'Schedule G IslIntCos'!R427-'Schedule F IslIntCos'!R427</f>
        <v>0</v>
      </c>
      <c r="P40" s="30">
        <f>'Schedule G IslIntCos'!S427-'Schedule F IslIntCos'!S427</f>
        <v>0</v>
      </c>
      <c r="Q40" s="30">
        <f>'Schedule G IslIntCos'!T427-'Schedule F IslIntCos'!T427</f>
        <v>0</v>
      </c>
      <c r="R40" s="30">
        <f>'Schedule G IslIntCos'!U427-'Schedule F IslIntCos'!U427</f>
        <v>0</v>
      </c>
      <c r="S40" s="30">
        <f>'Schedule G IslIntCos'!V427-'Schedule F IslIntCos'!V427</f>
        <v>0</v>
      </c>
    </row>
    <row r="41" spans="1:19" ht="17.25" thickBot="1" x14ac:dyDescent="0.35">
      <c r="A41" s="1">
        <v>26</v>
      </c>
      <c r="B41" s="20" t="s">
        <v>248</v>
      </c>
      <c r="C41" s="55">
        <f>'Schedule G IslIntCos'!F428-'Schedule F IslIntCos'!F428</f>
        <v>0</v>
      </c>
      <c r="D41" s="55">
        <f>'Schedule G IslIntCos'!G428-'Schedule F IslIntCos'!G428</f>
        <v>0</v>
      </c>
      <c r="E41" s="55">
        <f>'Schedule G IslIntCos'!H428-'Schedule F IslIntCos'!H428</f>
        <v>0</v>
      </c>
      <c r="F41" s="55">
        <f>'Schedule G IslIntCos'!I428-'Schedule F IslIntCos'!I428</f>
        <v>0</v>
      </c>
      <c r="G41" s="55">
        <f>'Schedule G IslIntCos'!J428-'Schedule F IslIntCos'!J428</f>
        <v>0</v>
      </c>
      <c r="H41" s="55">
        <f>'Schedule G IslIntCos'!K428-'Schedule F IslIntCos'!K428</f>
        <v>0</v>
      </c>
      <c r="I41" s="55">
        <f>'Schedule G IslIntCos'!L428-'Schedule F IslIntCos'!L428</f>
        <v>0</v>
      </c>
      <c r="J41" s="55">
        <f>'Schedule G IslIntCos'!M428-'Schedule F IslIntCos'!M428</f>
        <v>0</v>
      </c>
      <c r="K41" s="55">
        <f>'Schedule G IslIntCos'!N428-'Schedule F IslIntCos'!N428</f>
        <v>0</v>
      </c>
      <c r="L41" s="55">
        <f>'Schedule G IslIntCos'!O428-'Schedule F IslIntCos'!O428</f>
        <v>0</v>
      </c>
      <c r="M41" s="55">
        <f>'Schedule G IslIntCos'!P428-'Schedule F IslIntCos'!P428</f>
        <v>0</v>
      </c>
      <c r="N41" s="55">
        <f>'Schedule G IslIntCos'!Q428-'Schedule F IslIntCos'!Q428</f>
        <v>0</v>
      </c>
      <c r="O41" s="55">
        <f>'Schedule G IslIntCos'!R428-'Schedule F IslIntCos'!R428</f>
        <v>0</v>
      </c>
      <c r="P41" s="55">
        <f>'Schedule G IslIntCos'!S428-'Schedule F IslIntCos'!S428</f>
        <v>0</v>
      </c>
      <c r="Q41" s="55">
        <f>'Schedule G IslIntCos'!T428-'Schedule F IslIntCos'!T428</f>
        <v>0</v>
      </c>
      <c r="R41" s="55">
        <f>'Schedule G IslIntCos'!U428-'Schedule F IslIntCos'!U428</f>
        <v>0</v>
      </c>
      <c r="S41" s="55">
        <f>'Schedule G IslIntCos'!V428-'Schedule F IslIntCos'!V428</f>
        <v>0</v>
      </c>
    </row>
    <row r="42" spans="1:19" ht="17.25" thickTop="1" x14ac:dyDescent="0.3">
      <c r="A42" s="1"/>
      <c r="B42" s="20" t="s">
        <v>256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</row>
    <row r="43" spans="1:19" ht="16.5" x14ac:dyDescent="0.3">
      <c r="A43" s="1">
        <v>27</v>
      </c>
      <c r="B43" s="6" t="s">
        <v>224</v>
      </c>
      <c r="C43" s="22">
        <f>'Schedule G IslIntCos'!F430-'Schedule F IslIntCos'!F430</f>
        <v>0</v>
      </c>
      <c r="D43" s="22">
        <f>'Schedule G IslIntCos'!G430-'Schedule F IslIntCos'!G430</f>
        <v>0</v>
      </c>
      <c r="E43" s="22">
        <f>'Schedule G IslIntCos'!H430-'Schedule F IslIntCos'!H430</f>
        <v>0</v>
      </c>
      <c r="F43" s="22">
        <f>'Schedule G IslIntCos'!I430-'Schedule F IslIntCos'!I430</f>
        <v>0</v>
      </c>
      <c r="G43" s="22">
        <f>'Schedule G IslIntCos'!J430-'Schedule F IslIntCos'!J430</f>
        <v>0</v>
      </c>
      <c r="H43" s="22">
        <f>'Schedule G IslIntCos'!K430-'Schedule F IslIntCos'!K430</f>
        <v>0</v>
      </c>
      <c r="I43" s="22">
        <f>'Schedule G IslIntCos'!L430-'Schedule F IslIntCos'!L430</f>
        <v>0</v>
      </c>
      <c r="J43" s="22">
        <f>'Schedule G IslIntCos'!M430-'Schedule F IslIntCos'!M430</f>
        <v>0</v>
      </c>
      <c r="K43" s="22">
        <f>'Schedule G IslIntCos'!N430-'Schedule F IslIntCos'!N430</f>
        <v>0</v>
      </c>
      <c r="L43" s="22">
        <f>'Schedule G IslIntCos'!O430-'Schedule F IslIntCos'!O430</f>
        <v>0</v>
      </c>
      <c r="M43" s="22">
        <f>'Schedule G IslIntCos'!P430-'Schedule F IslIntCos'!P430</f>
        <v>0</v>
      </c>
      <c r="N43" s="22">
        <f>'Schedule G IslIntCos'!Q430-'Schedule F IslIntCos'!Q430</f>
        <v>0</v>
      </c>
      <c r="O43" s="22">
        <f>'Schedule G IslIntCos'!R430-'Schedule F IslIntCos'!R430</f>
        <v>0</v>
      </c>
      <c r="P43" s="22">
        <f>'Schedule G IslIntCos'!S430-'Schedule F IslIntCos'!S430</f>
        <v>0</v>
      </c>
      <c r="Q43" s="22">
        <f>'Schedule G IslIntCos'!T430-'Schedule F IslIntCos'!T430</f>
        <v>0</v>
      </c>
      <c r="R43" s="22">
        <f>'Schedule G IslIntCos'!U430-'Schedule F IslIntCos'!U430</f>
        <v>0</v>
      </c>
      <c r="S43" s="22">
        <f>'Schedule G IslIntCos'!V430-'Schedule F IslIntCos'!V430</f>
        <v>0</v>
      </c>
    </row>
    <row r="44" spans="1:19" ht="16.5" x14ac:dyDescent="0.3">
      <c r="A44" s="1">
        <v>28</v>
      </c>
      <c r="B44" s="17" t="s">
        <v>227</v>
      </c>
      <c r="C44" s="22">
        <f>'Schedule G IslIntCos'!F431-'Schedule F IslIntCos'!F431</f>
        <v>0</v>
      </c>
      <c r="D44" s="22">
        <f>'Schedule G IslIntCos'!G431-'Schedule F IslIntCos'!G431</f>
        <v>0</v>
      </c>
      <c r="E44" s="22">
        <f>'Schedule G IslIntCos'!H431-'Schedule F IslIntCos'!H431</f>
        <v>0</v>
      </c>
      <c r="F44" s="22">
        <f>'Schedule G IslIntCos'!I431-'Schedule F IslIntCos'!I431</f>
        <v>0</v>
      </c>
      <c r="G44" s="22">
        <f>'Schedule G IslIntCos'!J431-'Schedule F IslIntCos'!J431</f>
        <v>0</v>
      </c>
      <c r="H44" s="22">
        <f>'Schedule G IslIntCos'!K431-'Schedule F IslIntCos'!K431</f>
        <v>0</v>
      </c>
      <c r="I44" s="22">
        <f>'Schedule G IslIntCos'!L431-'Schedule F IslIntCos'!L431</f>
        <v>0</v>
      </c>
      <c r="J44" s="22">
        <f>'Schedule G IslIntCos'!M431-'Schedule F IslIntCos'!M431</f>
        <v>0</v>
      </c>
      <c r="K44" s="22">
        <f>'Schedule G IslIntCos'!N431-'Schedule F IslIntCos'!N431</f>
        <v>0</v>
      </c>
      <c r="L44" s="22">
        <f>'Schedule G IslIntCos'!O431-'Schedule F IslIntCos'!O431</f>
        <v>0</v>
      </c>
      <c r="M44" s="22">
        <f>'Schedule G IslIntCos'!P431-'Schedule F IslIntCos'!P431</f>
        <v>0</v>
      </c>
      <c r="N44" s="22">
        <f>'Schedule G IslIntCos'!Q431-'Schedule F IslIntCos'!Q431</f>
        <v>0</v>
      </c>
      <c r="O44" s="22">
        <f>'Schedule G IslIntCos'!R431-'Schedule F IslIntCos'!R431</f>
        <v>0</v>
      </c>
      <c r="P44" s="22">
        <f>'Schedule G IslIntCos'!S431-'Schedule F IslIntCos'!S431</f>
        <v>0</v>
      </c>
      <c r="Q44" s="22">
        <f>'Schedule G IslIntCos'!T431-'Schedule F IslIntCos'!T431</f>
        <v>0</v>
      </c>
      <c r="R44" s="22">
        <f>'Schedule G IslIntCos'!U431-'Schedule F IslIntCos'!U431</f>
        <v>0</v>
      </c>
      <c r="S44" s="22">
        <f>'Schedule G IslIntCos'!V431-'Schedule F IslIntCos'!V431</f>
        <v>0</v>
      </c>
    </row>
    <row r="45" spans="1:19" ht="16.5" x14ac:dyDescent="0.3">
      <c r="A45" s="1">
        <v>29</v>
      </c>
      <c r="B45" s="17" t="s">
        <v>229</v>
      </c>
      <c r="C45" s="22">
        <f>'Schedule G IslIntCos'!F432-'Schedule F IslIntCos'!F432</f>
        <v>0</v>
      </c>
      <c r="D45" s="22">
        <f>'Schedule G IslIntCos'!G432-'Schedule F IslIntCos'!G432</f>
        <v>0</v>
      </c>
      <c r="E45" s="22">
        <f>'Schedule G IslIntCos'!H432-'Schedule F IslIntCos'!H432</f>
        <v>0</v>
      </c>
      <c r="F45" s="22">
        <f>'Schedule G IslIntCos'!I432-'Schedule F IslIntCos'!I432</f>
        <v>0</v>
      </c>
      <c r="G45" s="22">
        <f>'Schedule G IslIntCos'!J432-'Schedule F IslIntCos'!J432</f>
        <v>0</v>
      </c>
      <c r="H45" s="22">
        <f>'Schedule G IslIntCos'!K432-'Schedule F IslIntCos'!K432</f>
        <v>0</v>
      </c>
      <c r="I45" s="22">
        <f>'Schedule G IslIntCos'!L432-'Schedule F IslIntCos'!L432</f>
        <v>0</v>
      </c>
      <c r="J45" s="22">
        <f>'Schedule G IslIntCos'!M432-'Schedule F IslIntCos'!M432</f>
        <v>0</v>
      </c>
      <c r="K45" s="22">
        <f>'Schedule G IslIntCos'!N432-'Schedule F IslIntCos'!N432</f>
        <v>0</v>
      </c>
      <c r="L45" s="22">
        <f>'Schedule G IslIntCos'!O432-'Schedule F IslIntCos'!O432</f>
        <v>0</v>
      </c>
      <c r="M45" s="22">
        <f>'Schedule G IslIntCos'!P432-'Schedule F IslIntCos'!P432</f>
        <v>0</v>
      </c>
      <c r="N45" s="22">
        <f>'Schedule G IslIntCos'!Q432-'Schedule F IslIntCos'!Q432</f>
        <v>0</v>
      </c>
      <c r="O45" s="22">
        <f>'Schedule G IslIntCos'!R432-'Schedule F IslIntCos'!R432</f>
        <v>0</v>
      </c>
      <c r="P45" s="22">
        <f>'Schedule G IslIntCos'!S432-'Schedule F IslIntCos'!S432</f>
        <v>0</v>
      </c>
      <c r="Q45" s="22">
        <f>'Schedule G IslIntCos'!T432-'Schedule F IslIntCos'!T432</f>
        <v>0</v>
      </c>
      <c r="R45" s="22">
        <f>'Schedule G IslIntCos'!U432-'Schedule F IslIntCos'!U432</f>
        <v>0</v>
      </c>
      <c r="S45" s="22">
        <f>'Schedule G IslIntCos'!V432-'Schedule F IslIntCos'!V432</f>
        <v>0</v>
      </c>
    </row>
    <row r="46" spans="1:19" ht="16.5" x14ac:dyDescent="0.3">
      <c r="A46" s="1"/>
      <c r="B46" s="20" t="s">
        <v>230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</row>
    <row r="47" spans="1:19" ht="16.5" x14ac:dyDescent="0.3">
      <c r="A47" s="1">
        <v>30</v>
      </c>
      <c r="B47" s="17" t="s">
        <v>232</v>
      </c>
      <c r="C47" s="22">
        <f>'Schedule G IslIntCos'!F434-'Schedule F IslIntCos'!F434</f>
        <v>0</v>
      </c>
      <c r="D47" s="22">
        <f>'Schedule G IslIntCos'!G434-'Schedule F IslIntCos'!G434</f>
        <v>0</v>
      </c>
      <c r="E47" s="22">
        <f>'Schedule G IslIntCos'!H434-'Schedule F IslIntCos'!H434</f>
        <v>0</v>
      </c>
      <c r="F47" s="22">
        <f>'Schedule G IslIntCos'!I434-'Schedule F IslIntCos'!I434</f>
        <v>0</v>
      </c>
      <c r="G47" s="22">
        <f>'Schedule G IslIntCos'!J434-'Schedule F IslIntCos'!J434</f>
        <v>0</v>
      </c>
      <c r="H47" s="22">
        <f>'Schedule G IslIntCos'!K434-'Schedule F IslIntCos'!K434</f>
        <v>0</v>
      </c>
      <c r="I47" s="22">
        <f>'Schedule G IslIntCos'!L434-'Schedule F IslIntCos'!L434</f>
        <v>0</v>
      </c>
      <c r="J47" s="22">
        <f>'Schedule G IslIntCos'!M434-'Schedule F IslIntCos'!M434</f>
        <v>0</v>
      </c>
      <c r="K47" s="22">
        <f>'Schedule G IslIntCos'!N434-'Schedule F IslIntCos'!N434</f>
        <v>0</v>
      </c>
      <c r="L47" s="22">
        <f>'Schedule G IslIntCos'!O434-'Schedule F IslIntCos'!O434</f>
        <v>0</v>
      </c>
      <c r="M47" s="22">
        <f>'Schedule G IslIntCos'!P434-'Schedule F IslIntCos'!P434</f>
        <v>0</v>
      </c>
      <c r="N47" s="22">
        <f>'Schedule G IslIntCos'!Q434-'Schedule F IslIntCos'!Q434</f>
        <v>0</v>
      </c>
      <c r="O47" s="22">
        <f>'Schedule G IslIntCos'!R434-'Schedule F IslIntCos'!R434</f>
        <v>0</v>
      </c>
      <c r="P47" s="22">
        <f>'Schedule G IslIntCos'!S434-'Schedule F IslIntCos'!S434</f>
        <v>0</v>
      </c>
      <c r="Q47" s="22">
        <f>'Schedule G IslIntCos'!T434-'Schedule F IslIntCos'!T434</f>
        <v>0</v>
      </c>
      <c r="R47" s="22">
        <f>'Schedule G IslIntCos'!U434-'Schedule F IslIntCos'!U434</f>
        <v>0</v>
      </c>
      <c r="S47" s="22">
        <f>'Schedule G IslIntCos'!V434-'Schedule F IslIntCos'!V434</f>
        <v>0</v>
      </c>
    </row>
    <row r="48" spans="1:19" ht="16.5" x14ac:dyDescent="0.3">
      <c r="A48" s="1">
        <v>31</v>
      </c>
      <c r="B48" s="17" t="s">
        <v>234</v>
      </c>
      <c r="C48" s="22">
        <f>'Schedule G IslIntCos'!F435-'Schedule F IslIntCos'!F435</f>
        <v>0</v>
      </c>
      <c r="D48" s="22">
        <f>'Schedule G IslIntCos'!G435-'Schedule F IslIntCos'!G435</f>
        <v>0</v>
      </c>
      <c r="E48" s="22">
        <f>'Schedule G IslIntCos'!H435-'Schedule F IslIntCos'!H435</f>
        <v>0</v>
      </c>
      <c r="F48" s="22">
        <f>'Schedule G IslIntCos'!I435-'Schedule F IslIntCos'!I435</f>
        <v>0</v>
      </c>
      <c r="G48" s="22">
        <f>'Schedule G IslIntCos'!J435-'Schedule F IslIntCos'!J435</f>
        <v>0</v>
      </c>
      <c r="H48" s="22">
        <f>'Schedule G IslIntCos'!K435-'Schedule F IslIntCos'!K435</f>
        <v>0</v>
      </c>
      <c r="I48" s="22">
        <f>'Schedule G IslIntCos'!L435-'Schedule F IslIntCos'!L435</f>
        <v>0</v>
      </c>
      <c r="J48" s="22">
        <f>'Schedule G IslIntCos'!M435-'Schedule F IslIntCos'!M435</f>
        <v>0</v>
      </c>
      <c r="K48" s="22">
        <f>'Schedule G IslIntCos'!N435-'Schedule F IslIntCos'!N435</f>
        <v>0</v>
      </c>
      <c r="L48" s="22">
        <f>'Schedule G IslIntCos'!O435-'Schedule F IslIntCos'!O435</f>
        <v>0</v>
      </c>
      <c r="M48" s="22">
        <f>'Schedule G IslIntCos'!P435-'Schedule F IslIntCos'!P435</f>
        <v>0</v>
      </c>
      <c r="N48" s="22">
        <f>'Schedule G IslIntCos'!Q435-'Schedule F IslIntCos'!Q435</f>
        <v>0</v>
      </c>
      <c r="O48" s="22">
        <f>'Schedule G IslIntCos'!R435-'Schedule F IslIntCos'!R435</f>
        <v>0</v>
      </c>
      <c r="P48" s="22">
        <f>'Schedule G IslIntCos'!S435-'Schedule F IslIntCos'!S435</f>
        <v>0</v>
      </c>
      <c r="Q48" s="22">
        <f>'Schedule G IslIntCos'!T435-'Schedule F IslIntCos'!T435</f>
        <v>0</v>
      </c>
      <c r="R48" s="22">
        <f>'Schedule G IslIntCos'!U435-'Schedule F IslIntCos'!U435</f>
        <v>0</v>
      </c>
      <c r="S48" s="22">
        <f>'Schedule G IslIntCos'!V435-'Schedule F IslIntCos'!V435</f>
        <v>0</v>
      </c>
    </row>
    <row r="49" spans="1:19" ht="16.5" x14ac:dyDescent="0.3">
      <c r="A49" s="1">
        <v>32</v>
      </c>
      <c r="B49" s="17" t="s">
        <v>236</v>
      </c>
      <c r="C49" s="22">
        <f>'Schedule G IslIntCos'!F436-'Schedule F IslIntCos'!F436</f>
        <v>0</v>
      </c>
      <c r="D49" s="22">
        <f>'Schedule G IslIntCos'!G436-'Schedule F IslIntCos'!G436</f>
        <v>0</v>
      </c>
      <c r="E49" s="22">
        <f>'Schedule G IslIntCos'!H436-'Schedule F IslIntCos'!H436</f>
        <v>0</v>
      </c>
      <c r="F49" s="22">
        <f>'Schedule G IslIntCos'!I436-'Schedule F IslIntCos'!I436</f>
        <v>0</v>
      </c>
      <c r="G49" s="22">
        <f>'Schedule G IslIntCos'!J436-'Schedule F IslIntCos'!J436</f>
        <v>0</v>
      </c>
      <c r="H49" s="22">
        <f>'Schedule G IslIntCos'!K436-'Schedule F IslIntCos'!K436</f>
        <v>0</v>
      </c>
      <c r="I49" s="22">
        <f>'Schedule G IslIntCos'!L436-'Schedule F IslIntCos'!L436</f>
        <v>0</v>
      </c>
      <c r="J49" s="22">
        <f>'Schedule G IslIntCos'!M436-'Schedule F IslIntCos'!M436</f>
        <v>0</v>
      </c>
      <c r="K49" s="22">
        <f>'Schedule G IslIntCos'!N436-'Schedule F IslIntCos'!N436</f>
        <v>0</v>
      </c>
      <c r="L49" s="22">
        <f>'Schedule G IslIntCos'!O436-'Schedule F IslIntCos'!O436</f>
        <v>0</v>
      </c>
      <c r="M49" s="22">
        <f>'Schedule G IslIntCos'!P436-'Schedule F IslIntCos'!P436</f>
        <v>0</v>
      </c>
      <c r="N49" s="22">
        <f>'Schedule G IslIntCos'!Q436-'Schedule F IslIntCos'!Q436</f>
        <v>0</v>
      </c>
      <c r="O49" s="22">
        <f>'Schedule G IslIntCos'!R436-'Schedule F IslIntCos'!R436</f>
        <v>0</v>
      </c>
      <c r="P49" s="22">
        <f>'Schedule G IslIntCos'!S436-'Schedule F IslIntCos'!S436</f>
        <v>0</v>
      </c>
      <c r="Q49" s="22">
        <f>'Schedule G IslIntCos'!T436-'Schedule F IslIntCos'!T436</f>
        <v>0</v>
      </c>
      <c r="R49" s="22">
        <f>'Schedule G IslIntCos'!U436-'Schedule F IslIntCos'!U436</f>
        <v>0</v>
      </c>
      <c r="S49" s="22">
        <f>'Schedule G IslIntCos'!V436-'Schedule F IslIntCos'!V436</f>
        <v>0</v>
      </c>
    </row>
    <row r="50" spans="1:19" ht="16.5" x14ac:dyDescent="0.3">
      <c r="A50" s="1">
        <v>33</v>
      </c>
      <c r="B50" s="17" t="s">
        <v>238</v>
      </c>
      <c r="C50" s="22">
        <f>'Schedule G IslIntCos'!F437-'Schedule F IslIntCos'!F437</f>
        <v>0</v>
      </c>
      <c r="D50" s="22">
        <f>'Schedule G IslIntCos'!G437-'Schedule F IslIntCos'!G437</f>
        <v>0</v>
      </c>
      <c r="E50" s="22">
        <f>'Schedule G IslIntCos'!H437-'Schedule F IslIntCos'!H437</f>
        <v>0</v>
      </c>
      <c r="F50" s="22">
        <f>'Schedule G IslIntCos'!I437-'Schedule F IslIntCos'!I437</f>
        <v>0</v>
      </c>
      <c r="G50" s="22">
        <f>'Schedule G IslIntCos'!J437-'Schedule F IslIntCos'!J437</f>
        <v>0</v>
      </c>
      <c r="H50" s="22">
        <f>'Schedule G IslIntCos'!K437-'Schedule F IslIntCos'!K437</f>
        <v>0</v>
      </c>
      <c r="I50" s="22">
        <f>'Schedule G IslIntCos'!L437-'Schedule F IslIntCos'!L437</f>
        <v>0</v>
      </c>
      <c r="J50" s="22">
        <f>'Schedule G IslIntCos'!M437-'Schedule F IslIntCos'!M437</f>
        <v>0</v>
      </c>
      <c r="K50" s="22">
        <f>'Schedule G IslIntCos'!N437-'Schedule F IslIntCos'!N437</f>
        <v>0</v>
      </c>
      <c r="L50" s="22">
        <f>'Schedule G IslIntCos'!O437-'Schedule F IslIntCos'!O437</f>
        <v>0</v>
      </c>
      <c r="M50" s="22">
        <f>'Schedule G IslIntCos'!P437-'Schedule F IslIntCos'!P437</f>
        <v>0</v>
      </c>
      <c r="N50" s="22">
        <f>'Schedule G IslIntCos'!Q437-'Schedule F IslIntCos'!Q437</f>
        <v>0</v>
      </c>
      <c r="O50" s="22">
        <f>'Schedule G IslIntCos'!R437-'Schedule F IslIntCos'!R437</f>
        <v>0</v>
      </c>
      <c r="P50" s="22">
        <f>'Schedule G IslIntCos'!S437-'Schedule F IslIntCos'!S437</f>
        <v>0</v>
      </c>
      <c r="Q50" s="22">
        <f>'Schedule G IslIntCos'!T437-'Schedule F IslIntCos'!T437</f>
        <v>0</v>
      </c>
      <c r="R50" s="22">
        <f>'Schedule G IslIntCos'!U437-'Schedule F IslIntCos'!U437</f>
        <v>0</v>
      </c>
      <c r="S50" s="22">
        <f>'Schedule G IslIntCos'!V437-'Schedule F IslIntCos'!V437</f>
        <v>0</v>
      </c>
    </row>
    <row r="51" spans="1:19" ht="16.5" x14ac:dyDescent="0.3">
      <c r="A51" s="1">
        <v>34</v>
      </c>
      <c r="B51" s="17" t="s">
        <v>240</v>
      </c>
      <c r="C51" s="22">
        <f>'Schedule G IslIntCos'!F438-'Schedule F IslIntCos'!F438</f>
        <v>0</v>
      </c>
      <c r="D51" s="22">
        <f>'Schedule G IslIntCos'!G438-'Schedule F IslIntCos'!G438</f>
        <v>0</v>
      </c>
      <c r="E51" s="22">
        <f>'Schedule G IslIntCos'!H438-'Schedule F IslIntCos'!H438</f>
        <v>0</v>
      </c>
      <c r="F51" s="22">
        <f>'Schedule G IslIntCos'!I438-'Schedule F IslIntCos'!I438</f>
        <v>0</v>
      </c>
      <c r="G51" s="22">
        <f>'Schedule G IslIntCos'!J438-'Schedule F IslIntCos'!J438</f>
        <v>0</v>
      </c>
      <c r="H51" s="22">
        <f>'Schedule G IslIntCos'!K438-'Schedule F IslIntCos'!K438</f>
        <v>0</v>
      </c>
      <c r="I51" s="22">
        <f>'Schedule G IslIntCos'!L438-'Schedule F IslIntCos'!L438</f>
        <v>0</v>
      </c>
      <c r="J51" s="22">
        <f>'Schedule G IslIntCos'!M438-'Schedule F IslIntCos'!M438</f>
        <v>0</v>
      </c>
      <c r="K51" s="22">
        <f>'Schedule G IslIntCos'!N438-'Schedule F IslIntCos'!N438</f>
        <v>0</v>
      </c>
      <c r="L51" s="22">
        <f>'Schedule G IslIntCos'!O438-'Schedule F IslIntCos'!O438</f>
        <v>0</v>
      </c>
      <c r="M51" s="22">
        <f>'Schedule G IslIntCos'!P438-'Schedule F IslIntCos'!P438</f>
        <v>0</v>
      </c>
      <c r="N51" s="22">
        <f>'Schedule G IslIntCos'!Q438-'Schedule F IslIntCos'!Q438</f>
        <v>0</v>
      </c>
      <c r="O51" s="22">
        <f>'Schedule G IslIntCos'!R438-'Schedule F IslIntCos'!R438</f>
        <v>0</v>
      </c>
      <c r="P51" s="22">
        <f>'Schedule G IslIntCos'!S438-'Schedule F IslIntCos'!S438</f>
        <v>0</v>
      </c>
      <c r="Q51" s="22">
        <f>'Schedule G IslIntCos'!T438-'Schedule F IslIntCos'!T438</f>
        <v>0</v>
      </c>
      <c r="R51" s="22">
        <f>'Schedule G IslIntCos'!U438-'Schedule F IslIntCos'!U438</f>
        <v>0</v>
      </c>
      <c r="S51" s="22">
        <f>'Schedule G IslIntCos'!V438-'Schedule F IslIntCos'!V438</f>
        <v>0</v>
      </c>
    </row>
    <row r="52" spans="1:19" ht="16.5" x14ac:dyDescent="0.3">
      <c r="A52" s="1">
        <v>35</v>
      </c>
      <c r="B52" s="17" t="s">
        <v>242</v>
      </c>
      <c r="C52" s="22">
        <f>'Schedule G IslIntCos'!F439-'Schedule F IslIntCos'!F439</f>
        <v>0</v>
      </c>
      <c r="D52" s="22">
        <f>'Schedule G IslIntCos'!G439-'Schedule F IslIntCos'!G439</f>
        <v>0</v>
      </c>
      <c r="E52" s="22">
        <f>'Schedule G IslIntCos'!H439-'Schedule F IslIntCos'!H439</f>
        <v>0</v>
      </c>
      <c r="F52" s="22">
        <f>'Schedule G IslIntCos'!I439-'Schedule F IslIntCos'!I439</f>
        <v>0</v>
      </c>
      <c r="G52" s="22">
        <f>'Schedule G IslIntCos'!J439-'Schedule F IslIntCos'!J439</f>
        <v>0</v>
      </c>
      <c r="H52" s="22">
        <f>'Schedule G IslIntCos'!K439-'Schedule F IslIntCos'!K439</f>
        <v>0</v>
      </c>
      <c r="I52" s="22">
        <f>'Schedule G IslIntCos'!L439-'Schedule F IslIntCos'!L439</f>
        <v>0</v>
      </c>
      <c r="J52" s="22">
        <f>'Schedule G IslIntCos'!M439-'Schedule F IslIntCos'!M439</f>
        <v>0</v>
      </c>
      <c r="K52" s="22">
        <f>'Schedule G IslIntCos'!N439-'Schedule F IslIntCos'!N439</f>
        <v>0</v>
      </c>
      <c r="L52" s="22">
        <f>'Schedule G IslIntCos'!O439-'Schedule F IslIntCos'!O439</f>
        <v>0</v>
      </c>
      <c r="M52" s="22">
        <f>'Schedule G IslIntCos'!P439-'Schedule F IslIntCos'!P439</f>
        <v>0</v>
      </c>
      <c r="N52" s="22">
        <f>'Schedule G IslIntCos'!Q439-'Schedule F IslIntCos'!Q439</f>
        <v>0</v>
      </c>
      <c r="O52" s="22">
        <f>'Schedule G IslIntCos'!R439-'Schedule F IslIntCos'!R439</f>
        <v>0</v>
      </c>
      <c r="P52" s="22">
        <f>'Schedule G IslIntCos'!S439-'Schedule F IslIntCos'!S439</f>
        <v>0</v>
      </c>
      <c r="Q52" s="22">
        <f>'Schedule G IslIntCos'!T439-'Schedule F IslIntCos'!T439</f>
        <v>0</v>
      </c>
      <c r="R52" s="22">
        <f>'Schedule G IslIntCos'!U439-'Schedule F IslIntCos'!U439</f>
        <v>0</v>
      </c>
      <c r="S52" s="22">
        <f>'Schedule G IslIntCos'!V439-'Schedule F IslIntCos'!V439</f>
        <v>0</v>
      </c>
    </row>
    <row r="53" spans="1:19" ht="16.5" x14ac:dyDescent="0.3">
      <c r="A53" s="1">
        <v>36</v>
      </c>
      <c r="B53" s="17" t="s">
        <v>244</v>
      </c>
      <c r="C53" s="22">
        <f>'Schedule G IslIntCos'!F440-'Schedule F IslIntCos'!F440</f>
        <v>0</v>
      </c>
      <c r="D53" s="22">
        <f>'Schedule G IslIntCos'!G440-'Schedule F IslIntCos'!G440</f>
        <v>0</v>
      </c>
      <c r="E53" s="22">
        <f>'Schedule G IslIntCos'!H440-'Schedule F IslIntCos'!H440</f>
        <v>0</v>
      </c>
      <c r="F53" s="22">
        <f>'Schedule G IslIntCos'!I440-'Schedule F IslIntCos'!I440</f>
        <v>0</v>
      </c>
      <c r="G53" s="22">
        <f>'Schedule G IslIntCos'!J440-'Schedule F IslIntCos'!J440</f>
        <v>0</v>
      </c>
      <c r="H53" s="22">
        <f>'Schedule G IslIntCos'!K440-'Schedule F IslIntCos'!K440</f>
        <v>0</v>
      </c>
      <c r="I53" s="22">
        <f>'Schedule G IslIntCos'!L440-'Schedule F IslIntCos'!L440</f>
        <v>0</v>
      </c>
      <c r="J53" s="22">
        <f>'Schedule G IslIntCos'!M440-'Schedule F IslIntCos'!M440</f>
        <v>0</v>
      </c>
      <c r="K53" s="22">
        <f>'Schedule G IslIntCos'!N440-'Schedule F IslIntCos'!N440</f>
        <v>0</v>
      </c>
      <c r="L53" s="22">
        <f>'Schedule G IslIntCos'!O440-'Schedule F IslIntCos'!O440</f>
        <v>0</v>
      </c>
      <c r="M53" s="22">
        <f>'Schedule G IslIntCos'!P440-'Schedule F IslIntCos'!P440</f>
        <v>0</v>
      </c>
      <c r="N53" s="22">
        <f>'Schedule G IslIntCos'!Q440-'Schedule F IslIntCos'!Q440</f>
        <v>0</v>
      </c>
      <c r="O53" s="22">
        <f>'Schedule G IslIntCos'!R440-'Schedule F IslIntCos'!R440</f>
        <v>0</v>
      </c>
      <c r="P53" s="22">
        <f>'Schedule G IslIntCos'!S440-'Schedule F IslIntCos'!S440</f>
        <v>0</v>
      </c>
      <c r="Q53" s="22">
        <f>'Schedule G IslIntCos'!T440-'Schedule F IslIntCos'!T440</f>
        <v>0</v>
      </c>
      <c r="R53" s="22">
        <f>'Schedule G IslIntCos'!U440-'Schedule F IslIntCos'!U440</f>
        <v>0</v>
      </c>
      <c r="S53" s="22">
        <f>'Schedule G IslIntCos'!V440-'Schedule F IslIntCos'!V440</f>
        <v>0</v>
      </c>
    </row>
    <row r="54" spans="1:19" ht="16.5" x14ac:dyDescent="0.3">
      <c r="A54" s="1">
        <v>37</v>
      </c>
      <c r="B54" s="17" t="s">
        <v>246</v>
      </c>
      <c r="C54" s="34">
        <f>'Schedule G IslIntCos'!F441-'Schedule F IslIntCos'!F441</f>
        <v>0</v>
      </c>
      <c r="D54" s="22">
        <f>'Schedule G IslIntCos'!G441-'Schedule F IslIntCos'!G441</f>
        <v>0</v>
      </c>
      <c r="E54" s="22">
        <f>'Schedule G IslIntCos'!H441-'Schedule F IslIntCos'!H441</f>
        <v>0</v>
      </c>
      <c r="F54" s="22">
        <f>'Schedule G IslIntCos'!I441-'Schedule F IslIntCos'!I441</f>
        <v>0</v>
      </c>
      <c r="G54" s="22">
        <f>'Schedule G IslIntCos'!J441-'Schedule F IslIntCos'!J441</f>
        <v>0</v>
      </c>
      <c r="H54" s="22">
        <f>'Schedule G IslIntCos'!K441-'Schedule F IslIntCos'!K441</f>
        <v>0</v>
      </c>
      <c r="I54" s="22">
        <f>'Schedule G IslIntCos'!L441-'Schedule F IslIntCos'!L441</f>
        <v>0</v>
      </c>
      <c r="J54" s="22">
        <f>'Schedule G IslIntCos'!M441-'Schedule F IslIntCos'!M441</f>
        <v>0</v>
      </c>
      <c r="K54" s="22">
        <f>'Schedule G IslIntCos'!N441-'Schedule F IslIntCos'!N441</f>
        <v>0</v>
      </c>
      <c r="L54" s="22">
        <f>'Schedule G IslIntCos'!O441-'Schedule F IslIntCos'!O441</f>
        <v>0</v>
      </c>
      <c r="M54" s="22">
        <f>'Schedule G IslIntCos'!P441-'Schedule F IslIntCos'!P441</f>
        <v>0</v>
      </c>
      <c r="N54" s="22">
        <f>'Schedule G IslIntCos'!Q441-'Schedule F IslIntCos'!Q441</f>
        <v>0</v>
      </c>
      <c r="O54" s="22">
        <f>'Schedule G IslIntCos'!R441-'Schedule F IslIntCos'!R441</f>
        <v>0</v>
      </c>
      <c r="P54" s="22">
        <f>'Schedule G IslIntCos'!S441-'Schedule F IslIntCos'!S441</f>
        <v>0</v>
      </c>
      <c r="Q54" s="22">
        <f>'Schedule G IslIntCos'!T441-'Schedule F IslIntCos'!T441</f>
        <v>0</v>
      </c>
      <c r="R54" s="22">
        <f>'Schedule G IslIntCos'!U441-'Schedule F IslIntCos'!U441</f>
        <v>0</v>
      </c>
      <c r="S54" s="22">
        <f>'Schedule G IslIntCos'!V441-'Schedule F IslIntCos'!V441</f>
        <v>0</v>
      </c>
    </row>
    <row r="55" spans="1:19" ht="16.5" x14ac:dyDescent="0.3">
      <c r="A55" s="1">
        <v>38</v>
      </c>
      <c r="B55" s="20" t="s">
        <v>247</v>
      </c>
      <c r="C55" s="30">
        <f>'Schedule G IslIntCos'!F442-'Schedule F IslIntCos'!F442</f>
        <v>0</v>
      </c>
      <c r="D55" s="30">
        <f>'Schedule G IslIntCos'!G442-'Schedule F IslIntCos'!G442</f>
        <v>0</v>
      </c>
      <c r="E55" s="30">
        <f>'Schedule G IslIntCos'!H442-'Schedule F IslIntCos'!H442</f>
        <v>0</v>
      </c>
      <c r="F55" s="30">
        <f>'Schedule G IslIntCos'!I442-'Schedule F IslIntCos'!I442</f>
        <v>0</v>
      </c>
      <c r="G55" s="30">
        <f>'Schedule G IslIntCos'!J442-'Schedule F IslIntCos'!J442</f>
        <v>0</v>
      </c>
      <c r="H55" s="30">
        <f>'Schedule G IslIntCos'!K442-'Schedule F IslIntCos'!K442</f>
        <v>0</v>
      </c>
      <c r="I55" s="30">
        <f>'Schedule G IslIntCos'!L442-'Schedule F IslIntCos'!L442</f>
        <v>0</v>
      </c>
      <c r="J55" s="30">
        <f>'Schedule G IslIntCos'!M442-'Schedule F IslIntCos'!M442</f>
        <v>0</v>
      </c>
      <c r="K55" s="30">
        <f>'Schedule G IslIntCos'!N442-'Schedule F IslIntCos'!N442</f>
        <v>0</v>
      </c>
      <c r="L55" s="30">
        <f>'Schedule G IslIntCos'!O442-'Schedule F IslIntCos'!O442</f>
        <v>0</v>
      </c>
      <c r="M55" s="30">
        <f>'Schedule G IslIntCos'!P442-'Schedule F IslIntCos'!P442</f>
        <v>0</v>
      </c>
      <c r="N55" s="30">
        <f>'Schedule G IslIntCos'!Q442-'Schedule F IslIntCos'!Q442</f>
        <v>0</v>
      </c>
      <c r="O55" s="30">
        <f>'Schedule G IslIntCos'!R442-'Schedule F IslIntCos'!R442</f>
        <v>0</v>
      </c>
      <c r="P55" s="30">
        <f>'Schedule G IslIntCos'!S442-'Schedule F IslIntCos'!S442</f>
        <v>0</v>
      </c>
      <c r="Q55" s="30">
        <f>'Schedule G IslIntCos'!T442-'Schedule F IslIntCos'!T442</f>
        <v>0</v>
      </c>
      <c r="R55" s="30">
        <f>'Schedule G IslIntCos'!U442-'Schedule F IslIntCos'!U442</f>
        <v>0</v>
      </c>
      <c r="S55" s="30">
        <f>'Schedule G IslIntCos'!V442-'Schedule F IslIntCos'!V442</f>
        <v>0</v>
      </c>
    </row>
    <row r="56" spans="1:19" ht="17.25" thickBot="1" x14ac:dyDescent="0.35">
      <c r="A56" s="1">
        <v>39</v>
      </c>
      <c r="B56" s="20" t="s">
        <v>248</v>
      </c>
      <c r="C56" s="55">
        <f>'Schedule G IslIntCos'!F443-'Schedule F IslIntCos'!F443</f>
        <v>0</v>
      </c>
      <c r="D56" s="55">
        <f>'Schedule G IslIntCos'!G443-'Schedule F IslIntCos'!G443</f>
        <v>0</v>
      </c>
      <c r="E56" s="55">
        <f>'Schedule G IslIntCos'!H443-'Schedule F IslIntCos'!H443</f>
        <v>0</v>
      </c>
      <c r="F56" s="55">
        <f>'Schedule G IslIntCos'!I443-'Schedule F IslIntCos'!I443</f>
        <v>0</v>
      </c>
      <c r="G56" s="55">
        <f>'Schedule G IslIntCos'!J443-'Schedule F IslIntCos'!J443</f>
        <v>0</v>
      </c>
      <c r="H56" s="55">
        <f>'Schedule G IslIntCos'!K443-'Schedule F IslIntCos'!K443</f>
        <v>0</v>
      </c>
      <c r="I56" s="55">
        <f>'Schedule G IslIntCos'!L443-'Schedule F IslIntCos'!L443</f>
        <v>0</v>
      </c>
      <c r="J56" s="55">
        <f>'Schedule G IslIntCos'!M443-'Schedule F IslIntCos'!M443</f>
        <v>0</v>
      </c>
      <c r="K56" s="55">
        <f>'Schedule G IslIntCos'!N443-'Schedule F IslIntCos'!N443</f>
        <v>0</v>
      </c>
      <c r="L56" s="55">
        <f>'Schedule G IslIntCos'!O443-'Schedule F IslIntCos'!O443</f>
        <v>0</v>
      </c>
      <c r="M56" s="55">
        <f>'Schedule G IslIntCos'!P443-'Schedule F IslIntCos'!P443</f>
        <v>0</v>
      </c>
      <c r="N56" s="55">
        <f>'Schedule G IslIntCos'!Q443-'Schedule F IslIntCos'!Q443</f>
        <v>0</v>
      </c>
      <c r="O56" s="55">
        <f>'Schedule G IslIntCos'!R443-'Schedule F IslIntCos'!R443</f>
        <v>0</v>
      </c>
      <c r="P56" s="55">
        <f>'Schedule G IslIntCos'!S443-'Schedule F IslIntCos'!S443</f>
        <v>0</v>
      </c>
      <c r="Q56" s="55">
        <f>'Schedule G IslIntCos'!T443-'Schedule F IslIntCos'!T443</f>
        <v>0</v>
      </c>
      <c r="R56" s="55">
        <f>'Schedule G IslIntCos'!U443-'Schedule F IslIntCos'!U443</f>
        <v>0</v>
      </c>
      <c r="S56" s="55">
        <f>'Schedule G IslIntCos'!V443-'Schedule F IslIntCos'!V443</f>
        <v>0</v>
      </c>
    </row>
    <row r="57" spans="1:19" ht="17.25" thickTop="1" x14ac:dyDescent="0.3">
      <c r="A57" s="1"/>
      <c r="B57" s="20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</row>
    <row r="58" spans="1:19" ht="16.5" x14ac:dyDescent="0.3">
      <c r="A58" s="1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7" t="s">
        <v>250</v>
      </c>
    </row>
    <row r="59" spans="1:19" ht="16.5" x14ac:dyDescent="0.3">
      <c r="A59" s="1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7" t="s">
        <v>257</v>
      </c>
    </row>
    <row r="60" spans="1:19" ht="16.5" x14ac:dyDescent="0.3">
      <c r="A60" s="8" t="s">
        <v>5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</row>
    <row r="61" spans="1:19" ht="16.5" x14ac:dyDescent="0.3">
      <c r="A61" s="8" t="s">
        <v>590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</row>
    <row r="62" spans="1:19" ht="16.5" x14ac:dyDescent="0.3">
      <c r="A62" s="8" t="s">
        <v>0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</row>
    <row r="63" spans="1:19" ht="16.5" x14ac:dyDescent="0.3">
      <c r="A63" s="8" t="s">
        <v>593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</row>
    <row r="64" spans="1:19" ht="16.5" x14ac:dyDescent="0.3">
      <c r="A64" s="8"/>
      <c r="B64" s="1">
        <v>1</v>
      </c>
      <c r="C64" s="1">
        <v>2</v>
      </c>
      <c r="D64" s="1">
        <v>3</v>
      </c>
      <c r="E64" s="1">
        <v>4</v>
      </c>
      <c r="F64" s="1">
        <v>5</v>
      </c>
      <c r="G64" s="1">
        <v>6</v>
      </c>
      <c r="H64" s="1">
        <v>7</v>
      </c>
      <c r="I64" s="1">
        <v>8</v>
      </c>
      <c r="J64" s="1">
        <v>9</v>
      </c>
      <c r="K64" s="1">
        <v>10</v>
      </c>
      <c r="L64" s="1">
        <v>11</v>
      </c>
      <c r="M64" s="1">
        <v>12</v>
      </c>
      <c r="N64" s="1">
        <v>13</v>
      </c>
      <c r="O64" s="1">
        <v>14</v>
      </c>
      <c r="P64" s="1">
        <v>15</v>
      </c>
      <c r="Q64" s="1">
        <v>16</v>
      </c>
      <c r="R64" s="1">
        <v>17</v>
      </c>
      <c r="S64" s="1">
        <v>18</v>
      </c>
    </row>
    <row r="65" spans="1:19" ht="16.5" x14ac:dyDescent="0.3">
      <c r="A65" s="1"/>
      <c r="B65" s="13"/>
      <c r="C65" s="13"/>
      <c r="D65" s="13"/>
      <c r="E65" s="13"/>
      <c r="F65" s="13"/>
      <c r="G65" s="13" t="s">
        <v>8</v>
      </c>
      <c r="H65" s="14" t="s">
        <v>9</v>
      </c>
      <c r="I65" s="14"/>
      <c r="J65" s="14"/>
      <c r="K65" s="14"/>
      <c r="L65" s="14"/>
      <c r="M65" s="14"/>
      <c r="N65" s="14"/>
      <c r="O65" s="14"/>
      <c r="P65" s="14"/>
      <c r="Q65" s="14"/>
      <c r="R65" s="6"/>
      <c r="S65" s="13" t="s">
        <v>10</v>
      </c>
    </row>
    <row r="66" spans="1:19" ht="16.5" x14ac:dyDescent="0.3">
      <c r="A66" s="1" t="s">
        <v>14</v>
      </c>
      <c r="B66" s="13"/>
      <c r="C66" s="13" t="s">
        <v>15</v>
      </c>
      <c r="D66" s="13" t="s">
        <v>16</v>
      </c>
      <c r="E66" s="13" t="s">
        <v>16</v>
      </c>
      <c r="F66" s="13" t="s">
        <v>17</v>
      </c>
      <c r="G66" s="13" t="s">
        <v>17</v>
      </c>
      <c r="H66" s="13" t="s">
        <v>18</v>
      </c>
      <c r="I66" s="14" t="s">
        <v>19</v>
      </c>
      <c r="J66" s="14"/>
      <c r="K66" s="14" t="s">
        <v>20</v>
      </c>
      <c r="L66" s="14"/>
      <c r="M66" s="14" t="s">
        <v>21</v>
      </c>
      <c r="N66" s="14"/>
      <c r="O66" s="48" t="s">
        <v>22</v>
      </c>
      <c r="P66" s="48" t="s">
        <v>23</v>
      </c>
      <c r="Q66" s="49" t="s">
        <v>24</v>
      </c>
      <c r="R66" s="48" t="s">
        <v>25</v>
      </c>
      <c r="S66" s="13" t="s">
        <v>26</v>
      </c>
    </row>
    <row r="67" spans="1:19" ht="16.5" x14ac:dyDescent="0.3">
      <c r="A67" s="1" t="s">
        <v>30</v>
      </c>
      <c r="B67" s="13" t="s">
        <v>31</v>
      </c>
      <c r="C67" s="13" t="s">
        <v>32</v>
      </c>
      <c r="D67" s="13" t="s">
        <v>33</v>
      </c>
      <c r="E67" s="13" t="s">
        <v>34</v>
      </c>
      <c r="F67" s="13" t="s">
        <v>33</v>
      </c>
      <c r="G67" s="13" t="s">
        <v>33</v>
      </c>
      <c r="H67" s="13" t="s">
        <v>33</v>
      </c>
      <c r="I67" s="13" t="s">
        <v>33</v>
      </c>
      <c r="J67" s="13" t="s">
        <v>35</v>
      </c>
      <c r="K67" s="13" t="s">
        <v>33</v>
      </c>
      <c r="L67" s="13" t="s">
        <v>35</v>
      </c>
      <c r="M67" s="13" t="s">
        <v>33</v>
      </c>
      <c r="N67" s="13" t="s">
        <v>35</v>
      </c>
      <c r="O67" s="13" t="s">
        <v>35</v>
      </c>
      <c r="P67" s="13" t="s">
        <v>35</v>
      </c>
      <c r="Q67" s="13" t="s">
        <v>35</v>
      </c>
      <c r="R67" s="13" t="s">
        <v>35</v>
      </c>
      <c r="S67" s="13" t="s">
        <v>35</v>
      </c>
    </row>
    <row r="68" spans="1:19" ht="16.5" x14ac:dyDescent="0.3">
      <c r="A68" s="1"/>
      <c r="B68" s="20" t="s">
        <v>595</v>
      </c>
      <c r="C68" s="13" t="s">
        <v>37</v>
      </c>
      <c r="D68" s="13" t="s">
        <v>37</v>
      </c>
      <c r="E68" s="13" t="s">
        <v>37</v>
      </c>
      <c r="F68" s="13" t="s">
        <v>37</v>
      </c>
      <c r="G68" s="13" t="s">
        <v>37</v>
      </c>
      <c r="H68" s="13" t="s">
        <v>37</v>
      </c>
      <c r="I68" s="13" t="s">
        <v>37</v>
      </c>
      <c r="J68" s="13" t="s">
        <v>37</v>
      </c>
      <c r="K68" s="13" t="s">
        <v>37</v>
      </c>
      <c r="L68" s="13" t="s">
        <v>37</v>
      </c>
      <c r="M68" s="13" t="s">
        <v>37</v>
      </c>
      <c r="N68" s="13" t="s">
        <v>37</v>
      </c>
      <c r="O68" s="13" t="s">
        <v>37</v>
      </c>
      <c r="P68" s="13" t="s">
        <v>37</v>
      </c>
      <c r="Q68" s="13" t="s">
        <v>37</v>
      </c>
      <c r="R68" s="13" t="s">
        <v>37</v>
      </c>
      <c r="S68" s="13" t="s">
        <v>37</v>
      </c>
    </row>
    <row r="69" spans="1:19" ht="16.5" x14ac:dyDescent="0.3">
      <c r="A69" s="1">
        <v>40</v>
      </c>
      <c r="B69" s="6" t="s">
        <v>224</v>
      </c>
      <c r="C69" s="22">
        <f>'Schedule G IslIntCos'!F456-'Schedule F IslIntCos'!F456</f>
        <v>435587126.90141916</v>
      </c>
      <c r="D69" s="22">
        <f>'Schedule G IslIntCos'!G456-'Schedule F IslIntCos'!G456</f>
        <v>221438250.6451931</v>
      </c>
      <c r="E69" s="22">
        <f>'Schedule G IslIntCos'!H456-'Schedule F IslIntCos'!H456</f>
        <v>214148876.25622606</v>
      </c>
      <c r="F69" s="22">
        <f>'Schedule G IslIntCos'!I456-'Schedule F IslIntCos'!I456</f>
        <v>0</v>
      </c>
      <c r="G69" s="22">
        <f>'Schedule G IslIntCos'!J456-'Schedule F IslIntCos'!J456</f>
        <v>0</v>
      </c>
      <c r="H69" s="22">
        <f>'Schedule G IslIntCos'!K456-'Schedule F IslIntCos'!K456</f>
        <v>0</v>
      </c>
      <c r="I69" s="22">
        <f>'Schedule G IslIntCos'!L456-'Schedule F IslIntCos'!L456</f>
        <v>0</v>
      </c>
      <c r="J69" s="22">
        <f>'Schedule G IslIntCos'!M456-'Schedule F IslIntCos'!M456</f>
        <v>0</v>
      </c>
      <c r="K69" s="22">
        <f>'Schedule G IslIntCos'!N456-'Schedule F IslIntCos'!N456</f>
        <v>0</v>
      </c>
      <c r="L69" s="22">
        <f>'Schedule G IslIntCos'!O456-'Schedule F IslIntCos'!O456</f>
        <v>0</v>
      </c>
      <c r="M69" s="22">
        <f>'Schedule G IslIntCos'!P456-'Schedule F IslIntCos'!P456</f>
        <v>0</v>
      </c>
      <c r="N69" s="22">
        <f>'Schedule G IslIntCos'!Q456-'Schedule F IslIntCos'!Q456</f>
        <v>0</v>
      </c>
      <c r="O69" s="22">
        <f>'Schedule G IslIntCos'!R456-'Schedule F IslIntCos'!R456</f>
        <v>0</v>
      </c>
      <c r="P69" s="22">
        <f>'Schedule G IslIntCos'!S456-'Schedule F IslIntCos'!S456</f>
        <v>0</v>
      </c>
      <c r="Q69" s="22">
        <f>'Schedule G IslIntCos'!T456-'Schedule F IslIntCos'!T456</f>
        <v>0</v>
      </c>
      <c r="R69" s="22">
        <f>'Schedule G IslIntCos'!U456-'Schedule F IslIntCos'!U456</f>
        <v>0</v>
      </c>
      <c r="S69" s="22">
        <f>'Schedule G IslIntCos'!V456-'Schedule F IslIntCos'!V456</f>
        <v>0</v>
      </c>
    </row>
    <row r="70" spans="1:19" ht="16.5" x14ac:dyDescent="0.3">
      <c r="A70" s="1">
        <v>41</v>
      </c>
      <c r="B70" s="17" t="s">
        <v>227</v>
      </c>
      <c r="C70" s="22">
        <f>'Schedule G IslIntCos'!F457-'Schedule F IslIntCos'!F457</f>
        <v>34269260.353916042</v>
      </c>
      <c r="D70" s="22">
        <f>'Schedule G IslIntCos'!G457-'Schedule F IslIntCos'!G457</f>
        <v>12430206.004208019</v>
      </c>
      <c r="E70" s="22">
        <f>'Schedule G IslIntCos'!H457-'Schedule F IslIntCos'!H457</f>
        <v>21839054.349708017</v>
      </c>
      <c r="F70" s="22">
        <f>'Schedule G IslIntCos'!I457-'Schedule F IslIntCos'!I457</f>
        <v>0</v>
      </c>
      <c r="G70" s="22">
        <f>'Schedule G IslIntCos'!J457-'Schedule F IslIntCos'!J457</f>
        <v>0</v>
      </c>
      <c r="H70" s="22">
        <f>'Schedule G IslIntCos'!K457-'Schedule F IslIntCos'!K457</f>
        <v>0</v>
      </c>
      <c r="I70" s="22">
        <f>'Schedule G IslIntCos'!L457-'Schedule F IslIntCos'!L457</f>
        <v>0</v>
      </c>
      <c r="J70" s="22">
        <f>'Schedule G IslIntCos'!M457-'Schedule F IslIntCos'!M457</f>
        <v>0</v>
      </c>
      <c r="K70" s="22">
        <f>'Schedule G IslIntCos'!N457-'Schedule F IslIntCos'!N457</f>
        <v>0</v>
      </c>
      <c r="L70" s="22">
        <f>'Schedule G IslIntCos'!O457-'Schedule F IslIntCos'!O457</f>
        <v>0</v>
      </c>
      <c r="M70" s="22">
        <f>'Schedule G IslIntCos'!P457-'Schedule F IslIntCos'!P457</f>
        <v>0</v>
      </c>
      <c r="N70" s="22">
        <f>'Schedule G IslIntCos'!Q457-'Schedule F IslIntCos'!Q457</f>
        <v>0</v>
      </c>
      <c r="O70" s="22">
        <f>'Schedule G IslIntCos'!R457-'Schedule F IslIntCos'!R457</f>
        <v>0</v>
      </c>
      <c r="P70" s="22">
        <f>'Schedule G IslIntCos'!S457-'Schedule F IslIntCos'!S457</f>
        <v>0</v>
      </c>
      <c r="Q70" s="22">
        <f>'Schedule G IslIntCos'!T457-'Schedule F IslIntCos'!T457</f>
        <v>0</v>
      </c>
      <c r="R70" s="22">
        <f>'Schedule G IslIntCos'!U457-'Schedule F IslIntCos'!U457</f>
        <v>0</v>
      </c>
      <c r="S70" s="22">
        <f>'Schedule G IslIntCos'!V457-'Schedule F IslIntCos'!V457</f>
        <v>0</v>
      </c>
    </row>
    <row r="71" spans="1:19" ht="16.5" x14ac:dyDescent="0.3">
      <c r="A71" s="1">
        <v>42</v>
      </c>
      <c r="B71" s="17" t="s">
        <v>229</v>
      </c>
      <c r="C71" s="22">
        <f>'Schedule G IslIntCos'!F458-'Schedule F IslIntCos'!F458</f>
        <v>0</v>
      </c>
      <c r="D71" s="22">
        <f>'Schedule G IslIntCos'!G458-'Schedule F IslIntCos'!G458</f>
        <v>0</v>
      </c>
      <c r="E71" s="22">
        <f>'Schedule G IslIntCos'!H458-'Schedule F IslIntCos'!H458</f>
        <v>0</v>
      </c>
      <c r="F71" s="22">
        <f>'Schedule G IslIntCos'!I458-'Schedule F IslIntCos'!I458</f>
        <v>0</v>
      </c>
      <c r="G71" s="22">
        <f>'Schedule G IslIntCos'!J458-'Schedule F IslIntCos'!J458</f>
        <v>0</v>
      </c>
      <c r="H71" s="22">
        <f>'Schedule G IslIntCos'!K458-'Schedule F IslIntCos'!K458</f>
        <v>0</v>
      </c>
      <c r="I71" s="22">
        <f>'Schedule G IslIntCos'!L458-'Schedule F IslIntCos'!L458</f>
        <v>0</v>
      </c>
      <c r="J71" s="22">
        <f>'Schedule G IslIntCos'!M458-'Schedule F IslIntCos'!M458</f>
        <v>0</v>
      </c>
      <c r="K71" s="22">
        <f>'Schedule G IslIntCos'!N458-'Schedule F IslIntCos'!N458</f>
        <v>0</v>
      </c>
      <c r="L71" s="22">
        <f>'Schedule G IslIntCos'!O458-'Schedule F IslIntCos'!O458</f>
        <v>0</v>
      </c>
      <c r="M71" s="22">
        <f>'Schedule G IslIntCos'!P458-'Schedule F IslIntCos'!P458</f>
        <v>0</v>
      </c>
      <c r="N71" s="22">
        <f>'Schedule G IslIntCos'!Q458-'Schedule F IslIntCos'!Q458</f>
        <v>0</v>
      </c>
      <c r="O71" s="22">
        <f>'Schedule G IslIntCos'!R458-'Schedule F IslIntCos'!R458</f>
        <v>0</v>
      </c>
      <c r="P71" s="22">
        <f>'Schedule G IslIntCos'!S458-'Schedule F IslIntCos'!S458</f>
        <v>0</v>
      </c>
      <c r="Q71" s="22">
        <f>'Schedule G IslIntCos'!T458-'Schedule F IslIntCos'!T458</f>
        <v>0</v>
      </c>
      <c r="R71" s="22">
        <f>'Schedule G IslIntCos'!U458-'Schedule F IslIntCos'!U458</f>
        <v>0</v>
      </c>
      <c r="S71" s="22">
        <f>'Schedule G IslIntCos'!V458-'Schedule F IslIntCos'!V458</f>
        <v>0</v>
      </c>
    </row>
    <row r="72" spans="1:19" ht="16.5" x14ac:dyDescent="0.3">
      <c r="A72" s="1"/>
      <c r="B72" s="20" t="s">
        <v>230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</row>
    <row r="73" spans="1:19" ht="16.5" x14ac:dyDescent="0.3">
      <c r="A73" s="1">
        <v>43</v>
      </c>
      <c r="B73" s="17" t="s">
        <v>232</v>
      </c>
      <c r="C73" s="22">
        <f>'Schedule G IslIntCos'!F460-'Schedule F IslIntCos'!F460</f>
        <v>9230667.1717781909</v>
      </c>
      <c r="D73" s="22">
        <f>'Schedule G IslIntCos'!G460-'Schedule F IslIntCos'!G460</f>
        <v>5012854.5901520904</v>
      </c>
      <c r="E73" s="22">
        <f>'Schedule G IslIntCos'!H460-'Schedule F IslIntCos'!H460</f>
        <v>4217812.5816261079</v>
      </c>
      <c r="F73" s="22">
        <f>'Schedule G IslIntCos'!I460-'Schedule F IslIntCos'!I460</f>
        <v>0</v>
      </c>
      <c r="G73" s="22">
        <f>'Schedule G IslIntCos'!J460-'Schedule F IslIntCos'!J460</f>
        <v>0</v>
      </c>
      <c r="H73" s="22">
        <f>'Schedule G IslIntCos'!K460-'Schedule F IslIntCos'!K460</f>
        <v>0</v>
      </c>
      <c r="I73" s="22">
        <f>'Schedule G IslIntCos'!L460-'Schedule F IslIntCos'!L460</f>
        <v>0</v>
      </c>
      <c r="J73" s="22">
        <f>'Schedule G IslIntCos'!M460-'Schedule F IslIntCos'!M460</f>
        <v>0</v>
      </c>
      <c r="K73" s="22">
        <f>'Schedule G IslIntCos'!N460-'Schedule F IslIntCos'!N460</f>
        <v>0</v>
      </c>
      <c r="L73" s="22">
        <f>'Schedule G IslIntCos'!O460-'Schedule F IslIntCos'!O460</f>
        <v>0</v>
      </c>
      <c r="M73" s="22">
        <f>'Schedule G IslIntCos'!P460-'Schedule F IslIntCos'!P460</f>
        <v>0</v>
      </c>
      <c r="N73" s="22">
        <f>'Schedule G IslIntCos'!Q460-'Schedule F IslIntCos'!Q460</f>
        <v>0</v>
      </c>
      <c r="O73" s="22">
        <f>'Schedule G IslIntCos'!R460-'Schedule F IslIntCos'!R460</f>
        <v>0</v>
      </c>
      <c r="P73" s="22">
        <f>'Schedule G IslIntCos'!S460-'Schedule F IslIntCos'!S460</f>
        <v>0</v>
      </c>
      <c r="Q73" s="22">
        <f>'Schedule G IslIntCos'!T460-'Schedule F IslIntCos'!T460</f>
        <v>0</v>
      </c>
      <c r="R73" s="22">
        <f>'Schedule G IslIntCos'!U460-'Schedule F IslIntCos'!U460</f>
        <v>0</v>
      </c>
      <c r="S73" s="22">
        <f>'Schedule G IslIntCos'!V460-'Schedule F IslIntCos'!V460</f>
        <v>0</v>
      </c>
    </row>
    <row r="74" spans="1:19" ht="16.5" x14ac:dyDescent="0.3">
      <c r="A74" s="1">
        <v>44</v>
      </c>
      <c r="B74" s="17" t="s">
        <v>234</v>
      </c>
      <c r="C74" s="22">
        <f>'Schedule G IslIntCos'!F461-'Schedule F IslIntCos'!F461</f>
        <v>11504905.165422928</v>
      </c>
      <c r="D74" s="22">
        <f>'Schedule G IslIntCos'!G461-'Schedule F IslIntCos'!G461</f>
        <v>5818437.0681511685</v>
      </c>
      <c r="E74" s="22">
        <f>'Schedule G IslIntCos'!H461-'Schedule F IslIntCos'!H461</f>
        <v>5686468.0972717591</v>
      </c>
      <c r="F74" s="22">
        <f>'Schedule G IslIntCos'!I461-'Schedule F IslIntCos'!I461</f>
        <v>0</v>
      </c>
      <c r="G74" s="22">
        <f>'Schedule G IslIntCos'!J461-'Schedule F IslIntCos'!J461</f>
        <v>0</v>
      </c>
      <c r="H74" s="22">
        <f>'Schedule G IslIntCos'!K461-'Schedule F IslIntCos'!K461</f>
        <v>0</v>
      </c>
      <c r="I74" s="22">
        <f>'Schedule G IslIntCos'!L461-'Schedule F IslIntCos'!L461</f>
        <v>0</v>
      </c>
      <c r="J74" s="22">
        <f>'Schedule G IslIntCos'!M461-'Schedule F IslIntCos'!M461</f>
        <v>0</v>
      </c>
      <c r="K74" s="22">
        <f>'Schedule G IslIntCos'!N461-'Schedule F IslIntCos'!N461</f>
        <v>0</v>
      </c>
      <c r="L74" s="22">
        <f>'Schedule G IslIntCos'!O461-'Schedule F IslIntCos'!O461</f>
        <v>0</v>
      </c>
      <c r="M74" s="22">
        <f>'Schedule G IslIntCos'!P461-'Schedule F IslIntCos'!P461</f>
        <v>0</v>
      </c>
      <c r="N74" s="22">
        <f>'Schedule G IslIntCos'!Q461-'Schedule F IslIntCos'!Q461</f>
        <v>0</v>
      </c>
      <c r="O74" s="22">
        <f>'Schedule G IslIntCos'!R461-'Schedule F IslIntCos'!R461</f>
        <v>0</v>
      </c>
      <c r="P74" s="22">
        <f>'Schedule G IslIntCos'!S461-'Schedule F IslIntCos'!S461</f>
        <v>0</v>
      </c>
      <c r="Q74" s="22">
        <f>'Schedule G IslIntCos'!T461-'Schedule F IslIntCos'!T461</f>
        <v>0</v>
      </c>
      <c r="R74" s="22">
        <f>'Schedule G IslIntCos'!U461-'Schedule F IslIntCos'!U461</f>
        <v>0</v>
      </c>
      <c r="S74" s="22">
        <f>'Schedule G IslIntCos'!V461-'Schedule F IslIntCos'!V461</f>
        <v>0</v>
      </c>
    </row>
    <row r="75" spans="1:19" ht="16.5" x14ac:dyDescent="0.3">
      <c r="A75" s="1">
        <v>45</v>
      </c>
      <c r="B75" s="17" t="s">
        <v>236</v>
      </c>
      <c r="C75" s="22">
        <f>'Schedule G IslIntCos'!F462-'Schedule F IslIntCos'!F462</f>
        <v>33536.12715106117</v>
      </c>
      <c r="D75" s="22">
        <f>'Schedule G IslIntCos'!G462-'Schedule F IslIntCos'!G462</f>
        <v>20163.566195447798</v>
      </c>
      <c r="E75" s="22">
        <f>'Schedule G IslIntCos'!H462-'Schedule F IslIntCos'!H462</f>
        <v>13372.560955613375</v>
      </c>
      <c r="F75" s="22">
        <f>'Schedule G IslIntCos'!I462-'Schedule F IslIntCos'!I462</f>
        <v>0</v>
      </c>
      <c r="G75" s="22">
        <f>'Schedule G IslIntCos'!J462-'Schedule F IslIntCos'!J462</f>
        <v>0</v>
      </c>
      <c r="H75" s="22">
        <f>'Schedule G IslIntCos'!K462-'Schedule F IslIntCos'!K462</f>
        <v>0</v>
      </c>
      <c r="I75" s="22">
        <f>'Schedule G IslIntCos'!L462-'Schedule F IslIntCos'!L462</f>
        <v>0</v>
      </c>
      <c r="J75" s="22">
        <f>'Schedule G IslIntCos'!M462-'Schedule F IslIntCos'!M462</f>
        <v>0</v>
      </c>
      <c r="K75" s="22">
        <f>'Schedule G IslIntCos'!N462-'Schedule F IslIntCos'!N462</f>
        <v>0</v>
      </c>
      <c r="L75" s="22">
        <f>'Schedule G IslIntCos'!O462-'Schedule F IslIntCos'!O462</f>
        <v>0</v>
      </c>
      <c r="M75" s="22">
        <f>'Schedule G IslIntCos'!P462-'Schedule F IslIntCos'!P462</f>
        <v>0</v>
      </c>
      <c r="N75" s="22">
        <f>'Schedule G IslIntCos'!Q462-'Schedule F IslIntCos'!Q462</f>
        <v>0</v>
      </c>
      <c r="O75" s="22">
        <f>'Schedule G IslIntCos'!R462-'Schedule F IslIntCos'!R462</f>
        <v>0</v>
      </c>
      <c r="P75" s="22">
        <f>'Schedule G IslIntCos'!S462-'Schedule F IslIntCos'!S462</f>
        <v>0</v>
      </c>
      <c r="Q75" s="22">
        <f>'Schedule G IslIntCos'!T462-'Schedule F IslIntCos'!T462</f>
        <v>0</v>
      </c>
      <c r="R75" s="22">
        <f>'Schedule G IslIntCos'!U462-'Schedule F IslIntCos'!U462</f>
        <v>0</v>
      </c>
      <c r="S75" s="22">
        <f>'Schedule G IslIntCos'!V462-'Schedule F IslIntCos'!V462</f>
        <v>0</v>
      </c>
    </row>
    <row r="76" spans="1:19" ht="16.5" x14ac:dyDescent="0.3">
      <c r="A76" s="1">
        <v>46</v>
      </c>
      <c r="B76" s="17" t="s">
        <v>238</v>
      </c>
      <c r="C76" s="22">
        <f>'Schedule G IslIntCos'!F463-'Schedule F IslIntCos'!F463</f>
        <v>5130916.3975190818</v>
      </c>
      <c r="D76" s="22">
        <f>'Schedule G IslIntCos'!G463-'Schedule F IslIntCos'!G463</f>
        <v>2307672.1425780589</v>
      </c>
      <c r="E76" s="22">
        <f>'Schedule G IslIntCos'!H463-'Schedule F IslIntCos'!H463</f>
        <v>2823244.2549410183</v>
      </c>
      <c r="F76" s="22">
        <f>'Schedule G IslIntCos'!I463-'Schedule F IslIntCos'!I463</f>
        <v>0</v>
      </c>
      <c r="G76" s="22">
        <f>'Schedule G IslIntCos'!J463-'Schedule F IslIntCos'!J463</f>
        <v>0</v>
      </c>
      <c r="H76" s="22">
        <f>'Schedule G IslIntCos'!K463-'Schedule F IslIntCos'!K463</f>
        <v>0</v>
      </c>
      <c r="I76" s="22">
        <f>'Schedule G IslIntCos'!L463-'Schedule F IslIntCos'!L463</f>
        <v>0</v>
      </c>
      <c r="J76" s="22">
        <f>'Schedule G IslIntCos'!M463-'Schedule F IslIntCos'!M463</f>
        <v>0</v>
      </c>
      <c r="K76" s="22">
        <f>'Schedule G IslIntCos'!N463-'Schedule F IslIntCos'!N463</f>
        <v>0</v>
      </c>
      <c r="L76" s="22">
        <f>'Schedule G IslIntCos'!O463-'Schedule F IslIntCos'!O463</f>
        <v>0</v>
      </c>
      <c r="M76" s="22">
        <f>'Schedule G IslIntCos'!P463-'Schedule F IslIntCos'!P463</f>
        <v>0</v>
      </c>
      <c r="N76" s="22">
        <f>'Schedule G IslIntCos'!Q463-'Schedule F IslIntCos'!Q463</f>
        <v>0</v>
      </c>
      <c r="O76" s="22">
        <f>'Schedule G IslIntCos'!R463-'Schedule F IslIntCos'!R463</f>
        <v>0</v>
      </c>
      <c r="P76" s="22">
        <f>'Schedule G IslIntCos'!S463-'Schedule F IslIntCos'!S463</f>
        <v>0</v>
      </c>
      <c r="Q76" s="22">
        <f>'Schedule G IslIntCos'!T463-'Schedule F IslIntCos'!T463</f>
        <v>0</v>
      </c>
      <c r="R76" s="22">
        <f>'Schedule G IslIntCos'!U463-'Schedule F IslIntCos'!U463</f>
        <v>0</v>
      </c>
      <c r="S76" s="22">
        <f>'Schedule G IslIntCos'!V463-'Schedule F IslIntCos'!V463</f>
        <v>0</v>
      </c>
    </row>
    <row r="77" spans="1:19" ht="16.5" x14ac:dyDescent="0.3">
      <c r="A77" s="1">
        <v>47</v>
      </c>
      <c r="B77" s="17" t="s">
        <v>240</v>
      </c>
      <c r="C77" s="22">
        <f>'Schedule G IslIntCos'!F464-'Schedule F IslIntCos'!F464</f>
        <v>0</v>
      </c>
      <c r="D77" s="22">
        <f>'Schedule G IslIntCos'!G464-'Schedule F IslIntCos'!G464</f>
        <v>0</v>
      </c>
      <c r="E77" s="22">
        <f>'Schedule G IslIntCos'!H464-'Schedule F IslIntCos'!H464</f>
        <v>0</v>
      </c>
      <c r="F77" s="22">
        <f>'Schedule G IslIntCos'!I464-'Schedule F IslIntCos'!I464</f>
        <v>0</v>
      </c>
      <c r="G77" s="22">
        <f>'Schedule G IslIntCos'!J464-'Schedule F IslIntCos'!J464</f>
        <v>0</v>
      </c>
      <c r="H77" s="22">
        <f>'Schedule G IslIntCos'!K464-'Schedule F IslIntCos'!K464</f>
        <v>0</v>
      </c>
      <c r="I77" s="22">
        <f>'Schedule G IslIntCos'!L464-'Schedule F IslIntCos'!L464</f>
        <v>0</v>
      </c>
      <c r="J77" s="22">
        <f>'Schedule G IslIntCos'!M464-'Schedule F IslIntCos'!M464</f>
        <v>0</v>
      </c>
      <c r="K77" s="22">
        <f>'Schedule G IslIntCos'!N464-'Schedule F IslIntCos'!N464</f>
        <v>0</v>
      </c>
      <c r="L77" s="22">
        <f>'Schedule G IslIntCos'!O464-'Schedule F IslIntCos'!O464</f>
        <v>0</v>
      </c>
      <c r="M77" s="22">
        <f>'Schedule G IslIntCos'!P464-'Schedule F IslIntCos'!P464</f>
        <v>0</v>
      </c>
      <c r="N77" s="22">
        <f>'Schedule G IslIntCos'!Q464-'Schedule F IslIntCos'!Q464</f>
        <v>0</v>
      </c>
      <c r="O77" s="22">
        <f>'Schedule G IslIntCos'!R464-'Schedule F IslIntCos'!R464</f>
        <v>0</v>
      </c>
      <c r="P77" s="22">
        <f>'Schedule G IslIntCos'!S464-'Schedule F IslIntCos'!S464</f>
        <v>0</v>
      </c>
      <c r="Q77" s="22">
        <f>'Schedule G IslIntCos'!T464-'Schedule F IslIntCos'!T464</f>
        <v>0</v>
      </c>
      <c r="R77" s="22">
        <f>'Schedule G IslIntCos'!U464-'Schedule F IslIntCos'!U464</f>
        <v>0</v>
      </c>
      <c r="S77" s="22">
        <f>'Schedule G IslIntCos'!V464-'Schedule F IslIntCos'!V464</f>
        <v>0</v>
      </c>
    </row>
    <row r="78" spans="1:19" ht="16.5" x14ac:dyDescent="0.3">
      <c r="A78" s="1">
        <v>48</v>
      </c>
      <c r="B78" s="17" t="s">
        <v>242</v>
      </c>
      <c r="C78" s="22">
        <f>'Schedule G IslIntCos'!F465-'Schedule F IslIntCos'!F465</f>
        <v>3628133.7288111104</v>
      </c>
      <c r="D78" s="22">
        <f>'Schedule G IslIntCos'!G465-'Schedule F IslIntCos'!G465</f>
        <v>1526032.6291070222</v>
      </c>
      <c r="E78" s="22">
        <f>'Schedule G IslIntCos'!H465-'Schedule F IslIntCos'!H465</f>
        <v>2102101.0997040868</v>
      </c>
      <c r="F78" s="22">
        <f>'Schedule G IslIntCos'!I465-'Schedule F IslIntCos'!I465</f>
        <v>0</v>
      </c>
      <c r="G78" s="22">
        <f>'Schedule G IslIntCos'!J465-'Schedule F IslIntCos'!J465</f>
        <v>0</v>
      </c>
      <c r="H78" s="22">
        <f>'Schedule G IslIntCos'!K465-'Schedule F IslIntCos'!K465</f>
        <v>0</v>
      </c>
      <c r="I78" s="22">
        <f>'Schedule G IslIntCos'!L465-'Schedule F IslIntCos'!L465</f>
        <v>0</v>
      </c>
      <c r="J78" s="22">
        <f>'Schedule G IslIntCos'!M465-'Schedule F IslIntCos'!M465</f>
        <v>0</v>
      </c>
      <c r="K78" s="22">
        <f>'Schedule G IslIntCos'!N465-'Schedule F IslIntCos'!N465</f>
        <v>0</v>
      </c>
      <c r="L78" s="22">
        <f>'Schedule G IslIntCos'!O465-'Schedule F IslIntCos'!O465</f>
        <v>0</v>
      </c>
      <c r="M78" s="22">
        <f>'Schedule G IslIntCos'!P465-'Schedule F IslIntCos'!P465</f>
        <v>0</v>
      </c>
      <c r="N78" s="22">
        <f>'Schedule G IslIntCos'!Q465-'Schedule F IslIntCos'!Q465</f>
        <v>0</v>
      </c>
      <c r="O78" s="22">
        <f>'Schedule G IslIntCos'!R465-'Schedule F IslIntCos'!R465</f>
        <v>0</v>
      </c>
      <c r="P78" s="22">
        <f>'Schedule G IslIntCos'!S465-'Schedule F IslIntCos'!S465</f>
        <v>0</v>
      </c>
      <c r="Q78" s="22">
        <f>'Schedule G IslIntCos'!T465-'Schedule F IslIntCos'!T465</f>
        <v>0</v>
      </c>
      <c r="R78" s="22">
        <f>'Schedule G IslIntCos'!U465-'Schedule F IslIntCos'!U465</f>
        <v>0</v>
      </c>
      <c r="S78" s="22">
        <f>'Schedule G IslIntCos'!V465-'Schedule F IslIntCos'!V465</f>
        <v>0</v>
      </c>
    </row>
    <row r="79" spans="1:19" ht="16.5" x14ac:dyDescent="0.3">
      <c r="A79" s="1">
        <v>49</v>
      </c>
      <c r="B79" s="17" t="s">
        <v>244</v>
      </c>
      <c r="C79" s="22">
        <f>'Schedule G IslIntCos'!F466-'Schedule F IslIntCos'!F466</f>
        <v>2403460.0607809089</v>
      </c>
      <c r="D79" s="22">
        <f>'Schedule G IslIntCos'!G466-'Schedule F IslIntCos'!G466</f>
        <v>890835.65343829244</v>
      </c>
      <c r="E79" s="22">
        <f>'Schedule G IslIntCos'!H466-'Schedule F IslIntCos'!H466</f>
        <v>1512624.4073426162</v>
      </c>
      <c r="F79" s="22">
        <f>'Schedule G IslIntCos'!I466-'Schedule F IslIntCos'!I466</f>
        <v>0</v>
      </c>
      <c r="G79" s="22">
        <f>'Schedule G IslIntCos'!J466-'Schedule F IslIntCos'!J466</f>
        <v>0</v>
      </c>
      <c r="H79" s="22">
        <f>'Schedule G IslIntCos'!K466-'Schedule F IslIntCos'!K466</f>
        <v>0</v>
      </c>
      <c r="I79" s="22">
        <f>'Schedule G IslIntCos'!L466-'Schedule F IslIntCos'!L466</f>
        <v>0</v>
      </c>
      <c r="J79" s="22">
        <f>'Schedule G IslIntCos'!M466-'Schedule F IslIntCos'!M466</f>
        <v>0</v>
      </c>
      <c r="K79" s="22">
        <f>'Schedule G IslIntCos'!N466-'Schedule F IslIntCos'!N466</f>
        <v>0</v>
      </c>
      <c r="L79" s="22">
        <f>'Schedule G IslIntCos'!O466-'Schedule F IslIntCos'!O466</f>
        <v>0</v>
      </c>
      <c r="M79" s="22">
        <f>'Schedule G IslIntCos'!P466-'Schedule F IslIntCos'!P466</f>
        <v>0</v>
      </c>
      <c r="N79" s="22">
        <f>'Schedule G IslIntCos'!Q466-'Schedule F IslIntCos'!Q466</f>
        <v>0</v>
      </c>
      <c r="O79" s="22">
        <f>'Schedule G IslIntCos'!R466-'Schedule F IslIntCos'!R466</f>
        <v>0</v>
      </c>
      <c r="P79" s="22">
        <f>'Schedule G IslIntCos'!S466-'Schedule F IslIntCos'!S466</f>
        <v>0</v>
      </c>
      <c r="Q79" s="22">
        <f>'Schedule G IslIntCos'!T466-'Schedule F IslIntCos'!T466</f>
        <v>0</v>
      </c>
      <c r="R79" s="22">
        <f>'Schedule G IslIntCos'!U466-'Schedule F IslIntCos'!U466</f>
        <v>0</v>
      </c>
      <c r="S79" s="22">
        <f>'Schedule G IslIntCos'!V466-'Schedule F IslIntCos'!V466</f>
        <v>0</v>
      </c>
    </row>
    <row r="80" spans="1:19" ht="16.5" x14ac:dyDescent="0.3">
      <c r="A80" s="1">
        <v>50</v>
      </c>
      <c r="B80" s="17" t="s">
        <v>246</v>
      </c>
      <c r="C80" s="34">
        <f>'Schedule G IslIntCos'!F467-'Schedule F IslIntCos'!F467</f>
        <v>175977.47727424139</v>
      </c>
      <c r="D80" s="22">
        <f>'Schedule G IslIntCos'!G467-'Schedule F IslIntCos'!G467</f>
        <v>95477.750817188411</v>
      </c>
      <c r="E80" s="22">
        <f>'Schedule G IslIntCos'!H467-'Schedule F IslIntCos'!H467</f>
        <v>80499.726457053024</v>
      </c>
      <c r="F80" s="22">
        <f>'Schedule G IslIntCos'!I467-'Schedule F IslIntCos'!I467</f>
        <v>0</v>
      </c>
      <c r="G80" s="22">
        <f>'Schedule G IslIntCos'!J467-'Schedule F IslIntCos'!J467</f>
        <v>0</v>
      </c>
      <c r="H80" s="22">
        <f>'Schedule G IslIntCos'!K467-'Schedule F IslIntCos'!K467</f>
        <v>0</v>
      </c>
      <c r="I80" s="22">
        <f>'Schedule G IslIntCos'!L467-'Schedule F IslIntCos'!L467</f>
        <v>0</v>
      </c>
      <c r="J80" s="22">
        <f>'Schedule G IslIntCos'!M467-'Schedule F IslIntCos'!M467</f>
        <v>0</v>
      </c>
      <c r="K80" s="22">
        <f>'Schedule G IslIntCos'!N467-'Schedule F IslIntCos'!N467</f>
        <v>0</v>
      </c>
      <c r="L80" s="22">
        <f>'Schedule G IslIntCos'!O467-'Schedule F IslIntCos'!O467</f>
        <v>0</v>
      </c>
      <c r="M80" s="22">
        <f>'Schedule G IslIntCos'!P467-'Schedule F IslIntCos'!P467</f>
        <v>0</v>
      </c>
      <c r="N80" s="22">
        <f>'Schedule G IslIntCos'!Q467-'Schedule F IslIntCos'!Q467</f>
        <v>0</v>
      </c>
      <c r="O80" s="22">
        <f>'Schedule G IslIntCos'!R467-'Schedule F IslIntCos'!R467</f>
        <v>0</v>
      </c>
      <c r="P80" s="22">
        <f>'Schedule G IslIntCos'!S467-'Schedule F IslIntCos'!S467</f>
        <v>0</v>
      </c>
      <c r="Q80" s="22">
        <f>'Schedule G IslIntCos'!T467-'Schedule F IslIntCos'!T467</f>
        <v>0</v>
      </c>
      <c r="R80" s="22">
        <f>'Schedule G IslIntCos'!U467-'Schedule F IslIntCos'!U467</f>
        <v>0</v>
      </c>
      <c r="S80" s="22">
        <f>'Schedule G IslIntCos'!V467-'Schedule F IslIntCos'!V467</f>
        <v>0</v>
      </c>
    </row>
    <row r="81" spans="1:19" ht="16.5" x14ac:dyDescent="0.3">
      <c r="A81" s="1">
        <v>51</v>
      </c>
      <c r="B81" s="20" t="s">
        <v>247</v>
      </c>
      <c r="C81" s="30">
        <f>'Schedule G IslIntCos'!F468-'Schedule F IslIntCos'!F468</f>
        <v>32107596.128737524</v>
      </c>
      <c r="D81" s="30">
        <f>'Schedule G IslIntCos'!G468-'Schedule F IslIntCos'!G468</f>
        <v>15671473.400439266</v>
      </c>
      <c r="E81" s="30">
        <f>'Schedule G IslIntCos'!H468-'Schedule F IslIntCos'!H468</f>
        <v>16436122.728298258</v>
      </c>
      <c r="F81" s="30">
        <f>'Schedule G IslIntCos'!I468-'Schedule F IslIntCos'!I468</f>
        <v>0</v>
      </c>
      <c r="G81" s="30">
        <f>'Schedule G IslIntCos'!J468-'Schedule F IslIntCos'!J468</f>
        <v>0</v>
      </c>
      <c r="H81" s="30">
        <f>'Schedule G IslIntCos'!K468-'Schedule F IslIntCos'!K468</f>
        <v>0</v>
      </c>
      <c r="I81" s="30">
        <f>'Schedule G IslIntCos'!L468-'Schedule F IslIntCos'!L468</f>
        <v>0</v>
      </c>
      <c r="J81" s="30">
        <f>'Schedule G IslIntCos'!M468-'Schedule F IslIntCos'!M468</f>
        <v>0</v>
      </c>
      <c r="K81" s="30">
        <f>'Schedule G IslIntCos'!N468-'Schedule F IslIntCos'!N468</f>
        <v>0</v>
      </c>
      <c r="L81" s="30">
        <f>'Schedule G IslIntCos'!O468-'Schedule F IslIntCos'!O468</f>
        <v>0</v>
      </c>
      <c r="M81" s="30">
        <f>'Schedule G IslIntCos'!P468-'Schedule F IslIntCos'!P468</f>
        <v>0</v>
      </c>
      <c r="N81" s="30">
        <f>'Schedule G IslIntCos'!Q468-'Schedule F IslIntCos'!Q468</f>
        <v>0</v>
      </c>
      <c r="O81" s="30">
        <f>'Schedule G IslIntCos'!R468-'Schedule F IslIntCos'!R468</f>
        <v>0</v>
      </c>
      <c r="P81" s="30">
        <f>'Schedule G IslIntCos'!S468-'Schedule F IslIntCos'!S468</f>
        <v>0</v>
      </c>
      <c r="Q81" s="30">
        <f>'Schedule G IslIntCos'!T468-'Schedule F IslIntCos'!T468</f>
        <v>0</v>
      </c>
      <c r="R81" s="30">
        <f>'Schedule G IslIntCos'!U468-'Schedule F IslIntCos'!U468</f>
        <v>0</v>
      </c>
      <c r="S81" s="30">
        <f>'Schedule G IslIntCos'!V468-'Schedule F IslIntCos'!V468</f>
        <v>0</v>
      </c>
    </row>
    <row r="82" spans="1:19" ht="17.25" thickBot="1" x14ac:dyDescent="0.35">
      <c r="A82" s="1">
        <v>52</v>
      </c>
      <c r="B82" s="20" t="s">
        <v>248</v>
      </c>
      <c r="C82" s="55">
        <f>'Schedule G IslIntCos'!F469-'Schedule F IslIntCos'!F469</f>
        <v>501963983.38407254</v>
      </c>
      <c r="D82" s="55">
        <f>'Schedule G IslIntCos'!G469-'Schedule F IslIntCos'!G469</f>
        <v>249539930.04984033</v>
      </c>
      <c r="E82" s="55">
        <f>'Schedule G IslIntCos'!H469-'Schedule F IslIntCos'!H469</f>
        <v>252424053.33423233</v>
      </c>
      <c r="F82" s="55">
        <f>'Schedule G IslIntCos'!I469-'Schedule F IslIntCos'!I469</f>
        <v>0</v>
      </c>
      <c r="G82" s="55">
        <f>'Schedule G IslIntCos'!J469-'Schedule F IslIntCos'!J469</f>
        <v>0</v>
      </c>
      <c r="H82" s="55">
        <f>'Schedule G IslIntCos'!K469-'Schedule F IslIntCos'!K469</f>
        <v>0</v>
      </c>
      <c r="I82" s="55">
        <f>'Schedule G IslIntCos'!L469-'Schedule F IslIntCos'!L469</f>
        <v>0</v>
      </c>
      <c r="J82" s="55">
        <f>'Schedule G IslIntCos'!M469-'Schedule F IslIntCos'!M469</f>
        <v>0</v>
      </c>
      <c r="K82" s="55">
        <f>'Schedule G IslIntCos'!N469-'Schedule F IslIntCos'!N469</f>
        <v>0</v>
      </c>
      <c r="L82" s="55">
        <f>'Schedule G IslIntCos'!O469-'Schedule F IslIntCos'!O469</f>
        <v>0</v>
      </c>
      <c r="M82" s="55">
        <f>'Schedule G IslIntCos'!P469-'Schedule F IslIntCos'!P469</f>
        <v>0</v>
      </c>
      <c r="N82" s="55">
        <f>'Schedule G IslIntCos'!Q469-'Schedule F IslIntCos'!Q469</f>
        <v>0</v>
      </c>
      <c r="O82" s="55">
        <f>'Schedule G IslIntCos'!R469-'Schedule F IslIntCos'!R469</f>
        <v>0</v>
      </c>
      <c r="P82" s="55">
        <f>'Schedule G IslIntCos'!S469-'Schedule F IslIntCos'!S469</f>
        <v>0</v>
      </c>
      <c r="Q82" s="55">
        <f>'Schedule G IslIntCos'!T469-'Schedule F IslIntCos'!T469</f>
        <v>0</v>
      </c>
      <c r="R82" s="55">
        <f>'Schedule G IslIntCos'!U469-'Schedule F IslIntCos'!U469</f>
        <v>0</v>
      </c>
      <c r="S82" s="55">
        <f>'Schedule G IslIntCos'!V469-'Schedule F IslIntCos'!V469</f>
        <v>0</v>
      </c>
    </row>
    <row r="83" spans="1:19" ht="17.25" thickTop="1" x14ac:dyDescent="0.3">
      <c r="A83" s="1"/>
      <c r="B83" s="20" t="s">
        <v>261</v>
      </c>
      <c r="C83" s="64">
        <f>'Schedule G IslIntCos'!F470-'Schedule F IslIntCos'!F470</f>
        <v>0</v>
      </c>
      <c r="D83" s="64">
        <f>'Schedule G IslIntCos'!G470-'Schedule F IslIntCos'!G470</f>
        <v>0</v>
      </c>
      <c r="E83" s="64">
        <f>'Schedule G IslIntCos'!H470-'Schedule F IslIntCos'!H470</f>
        <v>0</v>
      </c>
      <c r="F83" s="64">
        <f>'Schedule G IslIntCos'!I470-'Schedule F IslIntCos'!I470</f>
        <v>0</v>
      </c>
      <c r="G83" s="64">
        <f>'Schedule G IslIntCos'!J470-'Schedule F IslIntCos'!J470</f>
        <v>0</v>
      </c>
      <c r="H83" s="64">
        <f>'Schedule G IslIntCos'!K470-'Schedule F IslIntCos'!K470</f>
        <v>0</v>
      </c>
      <c r="I83" s="64">
        <f>'Schedule G IslIntCos'!L470-'Schedule F IslIntCos'!L470</f>
        <v>0</v>
      </c>
      <c r="J83" s="64">
        <f>'Schedule G IslIntCos'!M470-'Schedule F IslIntCos'!M470</f>
        <v>0</v>
      </c>
      <c r="K83" s="64">
        <f>'Schedule G IslIntCos'!N470-'Schedule F IslIntCos'!N470</f>
        <v>0</v>
      </c>
      <c r="L83" s="64">
        <f>'Schedule G IslIntCos'!O470-'Schedule F IslIntCos'!O470</f>
        <v>0</v>
      </c>
      <c r="M83" s="64">
        <f>'Schedule G IslIntCos'!P470-'Schedule F IslIntCos'!P470</f>
        <v>0</v>
      </c>
      <c r="N83" s="64">
        <f>'Schedule G IslIntCos'!Q470-'Schedule F IslIntCos'!Q470</f>
        <v>0</v>
      </c>
      <c r="O83" s="64">
        <f>'Schedule G IslIntCos'!R470-'Schedule F IslIntCos'!R470</f>
        <v>0</v>
      </c>
      <c r="P83" s="64">
        <f>'Schedule G IslIntCos'!S470-'Schedule F IslIntCos'!S470</f>
        <v>0</v>
      </c>
      <c r="Q83" s="64">
        <f>'Schedule G IslIntCos'!T470-'Schedule F IslIntCos'!T470</f>
        <v>0</v>
      </c>
      <c r="R83" s="64">
        <f>'Schedule G IslIntCos'!U470-'Schedule F IslIntCos'!U470</f>
        <v>0</v>
      </c>
      <c r="S83" s="64">
        <f>'Schedule G IslIntCos'!V470-'Schedule F IslIntCos'!V470</f>
        <v>0</v>
      </c>
    </row>
    <row r="84" spans="1:19" ht="16.5" x14ac:dyDescent="0.3">
      <c r="A84" s="1">
        <v>53</v>
      </c>
      <c r="B84" s="6" t="s">
        <v>224</v>
      </c>
      <c r="C84" s="22">
        <f>'Schedule G IslIntCos'!F471-'Schedule F IslIntCos'!F471</f>
        <v>0</v>
      </c>
      <c r="D84" s="22">
        <f>'Schedule G IslIntCos'!G471-'Schedule F IslIntCos'!G471</f>
        <v>9423.5119091462111</v>
      </c>
      <c r="E84" s="22">
        <f>'Schedule G IslIntCos'!H471-'Schedule F IslIntCos'!H471</f>
        <v>33667.140901142033</v>
      </c>
      <c r="F84" s="22">
        <f>'Schedule G IslIntCos'!I471-'Schedule F IslIntCos'!I471</f>
        <v>-41409.549804089191</v>
      </c>
      <c r="G84" s="22">
        <f>'Schedule G IslIntCos'!J471-'Schedule F IslIntCos'!J471</f>
        <v>0</v>
      </c>
      <c r="H84" s="22">
        <f>'Schedule G IslIntCos'!K471-'Schedule F IslIntCos'!K471</f>
        <v>0</v>
      </c>
      <c r="I84" s="22">
        <f>'Schedule G IslIntCos'!L471-'Schedule F IslIntCos'!L471</f>
        <v>0</v>
      </c>
      <c r="J84" s="22">
        <f>'Schedule G IslIntCos'!M471-'Schedule F IslIntCos'!M471</f>
        <v>0</v>
      </c>
      <c r="K84" s="22">
        <f>'Schedule G IslIntCos'!N471-'Schedule F IslIntCos'!N471</f>
        <v>0</v>
      </c>
      <c r="L84" s="22">
        <f>'Schedule G IslIntCos'!O471-'Schedule F IslIntCos'!O471</f>
        <v>0</v>
      </c>
      <c r="M84" s="22">
        <f>'Schedule G IslIntCos'!P471-'Schedule F IslIntCos'!P471</f>
        <v>0</v>
      </c>
      <c r="N84" s="22">
        <f>'Schedule G IslIntCos'!Q471-'Schedule F IslIntCos'!Q471</f>
        <v>0</v>
      </c>
      <c r="O84" s="22">
        <f>'Schedule G IslIntCos'!R471-'Schedule F IslIntCos'!R471</f>
        <v>0</v>
      </c>
      <c r="P84" s="22">
        <f>'Schedule G IslIntCos'!S471-'Schedule F IslIntCos'!S471</f>
        <v>0</v>
      </c>
      <c r="Q84" s="22">
        <f>'Schedule G IslIntCos'!T471-'Schedule F IslIntCos'!T471</f>
        <v>0</v>
      </c>
      <c r="R84" s="22">
        <f>'Schedule G IslIntCos'!U471-'Schedule F IslIntCos'!U471</f>
        <v>0</v>
      </c>
      <c r="S84" s="22">
        <f>'Schedule G IslIntCos'!V471-'Schedule F IslIntCos'!V471</f>
        <v>-1681.1030061990264</v>
      </c>
    </row>
    <row r="85" spans="1:19" ht="16.5" x14ac:dyDescent="0.3">
      <c r="A85" s="1">
        <v>54</v>
      </c>
      <c r="B85" s="17" t="s">
        <v>227</v>
      </c>
      <c r="C85" s="22">
        <f>'Schedule G IslIntCos'!F472-'Schedule F IslIntCos'!F472</f>
        <v>0</v>
      </c>
      <c r="D85" s="22">
        <f>'Schedule G IslIntCos'!G472-'Schedule F IslIntCos'!G472</f>
        <v>5.7587733373839001</v>
      </c>
      <c r="E85" s="22">
        <f>'Schedule G IslIntCos'!H472-'Schedule F IslIntCos'!H472</f>
        <v>3147.0182727742213</v>
      </c>
      <c r="F85" s="22">
        <f>'Schedule G IslIntCos'!I472-'Schedule F IslIntCos'!I472</f>
        <v>-2835.6196245948045</v>
      </c>
      <c r="G85" s="22">
        <f>'Schedule G IslIntCos'!J472-'Schedule F IslIntCos'!J472</f>
        <v>0</v>
      </c>
      <c r="H85" s="22">
        <f>'Schedule G IslIntCos'!K472-'Schedule F IslIntCos'!K472</f>
        <v>0</v>
      </c>
      <c r="I85" s="22">
        <f>'Schedule G IslIntCos'!L472-'Schedule F IslIntCos'!L472</f>
        <v>0</v>
      </c>
      <c r="J85" s="22">
        <f>'Schedule G IslIntCos'!M472-'Schedule F IslIntCos'!M472</f>
        <v>0</v>
      </c>
      <c r="K85" s="22">
        <f>'Schedule G IslIntCos'!N472-'Schedule F IslIntCos'!N472</f>
        <v>0</v>
      </c>
      <c r="L85" s="22">
        <f>'Schedule G IslIntCos'!O472-'Schedule F IslIntCos'!O472</f>
        <v>0</v>
      </c>
      <c r="M85" s="22">
        <f>'Schedule G IslIntCos'!P472-'Schedule F IslIntCos'!P472</f>
        <v>0</v>
      </c>
      <c r="N85" s="22">
        <f>'Schedule G IslIntCos'!Q472-'Schedule F IslIntCos'!Q472</f>
        <v>0</v>
      </c>
      <c r="O85" s="22">
        <f>'Schedule G IslIntCos'!R472-'Schedule F IslIntCos'!R472</f>
        <v>0</v>
      </c>
      <c r="P85" s="22">
        <f>'Schedule G IslIntCos'!S472-'Schedule F IslIntCos'!S472</f>
        <v>0</v>
      </c>
      <c r="Q85" s="22">
        <f>'Schedule G IslIntCos'!T472-'Schedule F IslIntCos'!T472</f>
        <v>0</v>
      </c>
      <c r="R85" s="22">
        <f>'Schedule G IslIntCos'!U472-'Schedule F IslIntCos'!U472</f>
        <v>0</v>
      </c>
      <c r="S85" s="22">
        <f>'Schedule G IslIntCos'!V472-'Schedule F IslIntCos'!V472</f>
        <v>-317.15742151681883</v>
      </c>
    </row>
    <row r="86" spans="1:19" ht="16.5" x14ac:dyDescent="0.3">
      <c r="A86" s="1">
        <v>55</v>
      </c>
      <c r="B86" s="17" t="s">
        <v>229</v>
      </c>
      <c r="C86" s="22">
        <f>'Schedule G IslIntCos'!F473-'Schedule F IslIntCos'!F473</f>
        <v>0</v>
      </c>
      <c r="D86" s="22">
        <f>'Schedule G IslIntCos'!G473-'Schedule F IslIntCos'!G473</f>
        <v>0</v>
      </c>
      <c r="E86" s="22">
        <f>'Schedule G IslIntCos'!H473-'Schedule F IslIntCos'!H473</f>
        <v>0</v>
      </c>
      <c r="F86" s="22">
        <f>'Schedule G IslIntCos'!I473-'Schedule F IslIntCos'!I473</f>
        <v>0</v>
      </c>
      <c r="G86" s="22">
        <f>'Schedule G IslIntCos'!J473-'Schedule F IslIntCos'!J473</f>
        <v>0</v>
      </c>
      <c r="H86" s="22">
        <f>'Schedule G IslIntCos'!K473-'Schedule F IslIntCos'!K473</f>
        <v>0</v>
      </c>
      <c r="I86" s="22">
        <f>'Schedule G IslIntCos'!L473-'Schedule F IslIntCos'!L473</f>
        <v>0</v>
      </c>
      <c r="J86" s="22">
        <f>'Schedule G IslIntCos'!M473-'Schedule F IslIntCos'!M473</f>
        <v>0</v>
      </c>
      <c r="K86" s="22">
        <f>'Schedule G IslIntCos'!N473-'Schedule F IslIntCos'!N473</f>
        <v>0</v>
      </c>
      <c r="L86" s="22">
        <f>'Schedule G IslIntCos'!O473-'Schedule F IslIntCos'!O473</f>
        <v>0</v>
      </c>
      <c r="M86" s="22">
        <f>'Schedule G IslIntCos'!P473-'Schedule F IslIntCos'!P473</f>
        <v>0</v>
      </c>
      <c r="N86" s="22">
        <f>'Schedule G IslIntCos'!Q473-'Schedule F IslIntCos'!Q473</f>
        <v>0</v>
      </c>
      <c r="O86" s="22">
        <f>'Schedule G IslIntCos'!R473-'Schedule F IslIntCos'!R473</f>
        <v>0</v>
      </c>
      <c r="P86" s="22">
        <f>'Schedule G IslIntCos'!S473-'Schedule F IslIntCos'!S473</f>
        <v>0</v>
      </c>
      <c r="Q86" s="22">
        <f>'Schedule G IslIntCos'!T473-'Schedule F IslIntCos'!T473</f>
        <v>0</v>
      </c>
      <c r="R86" s="22">
        <f>'Schedule G IslIntCos'!U473-'Schedule F IslIntCos'!U473</f>
        <v>0</v>
      </c>
      <c r="S86" s="22">
        <f>'Schedule G IslIntCos'!V473-'Schedule F IslIntCos'!V473</f>
        <v>0</v>
      </c>
    </row>
    <row r="87" spans="1:19" ht="16.5" x14ac:dyDescent="0.3">
      <c r="A87" s="1"/>
      <c r="B87" s="20" t="s">
        <v>230</v>
      </c>
      <c r="C87" s="22">
        <f>'Schedule G IslIntCos'!F474-'Schedule F IslIntCos'!F474</f>
        <v>0</v>
      </c>
      <c r="D87" s="22">
        <f>'Schedule G IslIntCos'!G474-'Schedule F IslIntCos'!G474</f>
        <v>0</v>
      </c>
      <c r="E87" s="22">
        <f>'Schedule G IslIntCos'!H474-'Schedule F IslIntCos'!H474</f>
        <v>0</v>
      </c>
      <c r="F87" s="22">
        <f>'Schedule G IslIntCos'!I474-'Schedule F IslIntCos'!I474</f>
        <v>0</v>
      </c>
      <c r="G87" s="22">
        <f>'Schedule G IslIntCos'!J474-'Schedule F IslIntCos'!J474</f>
        <v>0</v>
      </c>
      <c r="H87" s="22">
        <f>'Schedule G IslIntCos'!K474-'Schedule F IslIntCos'!K474</f>
        <v>0</v>
      </c>
      <c r="I87" s="22">
        <f>'Schedule G IslIntCos'!L474-'Schedule F IslIntCos'!L474</f>
        <v>0</v>
      </c>
      <c r="J87" s="22">
        <f>'Schedule G IslIntCos'!M474-'Schedule F IslIntCos'!M474</f>
        <v>0</v>
      </c>
      <c r="K87" s="22">
        <f>'Schedule G IslIntCos'!N474-'Schedule F IslIntCos'!N474</f>
        <v>0</v>
      </c>
      <c r="L87" s="22">
        <f>'Schedule G IslIntCos'!O474-'Schedule F IslIntCos'!O474</f>
        <v>0</v>
      </c>
      <c r="M87" s="22">
        <f>'Schedule G IslIntCos'!P474-'Schedule F IslIntCos'!P474</f>
        <v>0</v>
      </c>
      <c r="N87" s="22">
        <f>'Schedule G IslIntCos'!Q474-'Schedule F IslIntCos'!Q474</f>
        <v>0</v>
      </c>
      <c r="O87" s="22">
        <f>'Schedule G IslIntCos'!R474-'Schedule F IslIntCos'!R474</f>
        <v>0</v>
      </c>
      <c r="P87" s="22">
        <f>'Schedule G IslIntCos'!S474-'Schedule F IslIntCos'!S474</f>
        <v>0</v>
      </c>
      <c r="Q87" s="22">
        <f>'Schedule G IslIntCos'!T474-'Schedule F IslIntCos'!T474</f>
        <v>0</v>
      </c>
      <c r="R87" s="22">
        <f>'Schedule G IslIntCos'!U474-'Schedule F IslIntCos'!U474</f>
        <v>0</v>
      </c>
      <c r="S87" s="22">
        <f>'Schedule G IslIntCos'!V474-'Schedule F IslIntCos'!V474</f>
        <v>0</v>
      </c>
    </row>
    <row r="88" spans="1:19" ht="16.5" x14ac:dyDescent="0.3">
      <c r="A88" s="1">
        <v>56</v>
      </c>
      <c r="B88" s="17" t="s">
        <v>232</v>
      </c>
      <c r="C88" s="22">
        <f>'Schedule G IslIntCos'!F475-'Schedule F IslIntCos'!F475</f>
        <v>1.1641532182693481E-10</v>
      </c>
      <c r="D88" s="22">
        <f>'Schedule G IslIntCos'!G475-'Schedule F IslIntCos'!G475</f>
        <v>32305.634805707916</v>
      </c>
      <c r="E88" s="22">
        <f>'Schedule G IslIntCos'!H475-'Schedule F IslIntCos'!H475</f>
        <v>30068.010684515408</v>
      </c>
      <c r="F88" s="22">
        <f>'Schedule G IslIntCos'!I475-'Schedule F IslIntCos'!I475</f>
        <v>-5447.628958849933</v>
      </c>
      <c r="G88" s="22">
        <f>'Schedule G IslIntCos'!J475-'Schedule F IslIntCos'!J475</f>
        <v>-11567.318321949148</v>
      </c>
      <c r="H88" s="22">
        <f>'Schedule G IslIntCos'!K475-'Schedule F IslIntCos'!K475</f>
        <v>-9381.731028860162</v>
      </c>
      <c r="I88" s="22">
        <f>'Schedule G IslIntCos'!L475-'Schedule F IslIntCos'!L475</f>
        <v>-12741.537471649099</v>
      </c>
      <c r="J88" s="22">
        <f>'Schedule G IslIntCos'!M475-'Schedule F IslIntCos'!M475</f>
        <v>-5125.1669052458183</v>
      </c>
      <c r="K88" s="22">
        <f>'Schedule G IslIntCos'!N475-'Schedule F IslIntCos'!N475</f>
        <v>-1251.660887952386</v>
      </c>
      <c r="L88" s="22">
        <f>'Schedule G IslIntCos'!O475-'Schedule F IslIntCos'!O475</f>
        <v>-3130.9718018149269</v>
      </c>
      <c r="M88" s="22">
        <f>'Schedule G IslIntCos'!P475-'Schedule F IslIntCos'!P475</f>
        <v>-1876.4811268437988</v>
      </c>
      <c r="N88" s="22">
        <f>'Schedule G IslIntCos'!Q475-'Schedule F IslIntCos'!Q475</f>
        <v>-3023.7209878983176</v>
      </c>
      <c r="O88" s="22">
        <f>'Schedule G IslIntCos'!R475-'Schedule F IslIntCos'!R475</f>
        <v>-569.31224001517921</v>
      </c>
      <c r="P88" s="22">
        <f>'Schedule G IslIntCos'!S475-'Schedule F IslIntCos'!S475</f>
        <v>-1925.4631030129513</v>
      </c>
      <c r="Q88" s="22">
        <f>'Schedule G IslIntCos'!T475-'Schedule F IslIntCos'!T475</f>
        <v>0</v>
      </c>
      <c r="R88" s="22">
        <f>'Schedule G IslIntCos'!U475-'Schedule F IslIntCos'!U475</f>
        <v>-6332.6526561314931</v>
      </c>
      <c r="S88" s="22">
        <f>'Schedule G IslIntCos'!V475-'Schedule F IslIntCos'!V475</f>
        <v>0</v>
      </c>
    </row>
    <row r="89" spans="1:19" ht="16.5" x14ac:dyDescent="0.3">
      <c r="A89" s="1">
        <v>57</v>
      </c>
      <c r="B89" s="17" t="s">
        <v>234</v>
      </c>
      <c r="C89" s="22">
        <f>'Schedule G IslIntCos'!F476-'Schedule F IslIntCos'!F476</f>
        <v>5.8207660913467407E-11</v>
      </c>
      <c r="D89" s="22">
        <f>'Schedule G IslIntCos'!G476-'Schedule F IslIntCos'!G476</f>
        <v>37892.49771364675</v>
      </c>
      <c r="E89" s="22">
        <f>'Schedule G IslIntCos'!H476-'Schedule F IslIntCos'!H476</f>
        <v>41858.914902843739</v>
      </c>
      <c r="F89" s="22">
        <f>'Schedule G IslIntCos'!I476-'Schedule F IslIntCos'!I476</f>
        <v>-7842.2647074269589</v>
      </c>
      <c r="G89" s="22">
        <f>'Schedule G IslIntCos'!J476-'Schedule F IslIntCos'!J476</f>
        <v>-16652.010061813402</v>
      </c>
      <c r="H89" s="22">
        <f>'Schedule G IslIntCos'!K476-'Schedule F IslIntCos'!K476</f>
        <v>-13505.695541668283</v>
      </c>
      <c r="I89" s="22">
        <f>'Schedule G IslIntCos'!L476-'Schedule F IslIntCos'!L476</f>
        <v>-18342.385354630853</v>
      </c>
      <c r="J89" s="22">
        <f>'Schedule G IslIntCos'!M476-'Schedule F IslIntCos'!M476</f>
        <v>-4818.9351132483607</v>
      </c>
      <c r="K89" s="22">
        <f>'Schedule G IslIntCos'!N476-'Schedule F IslIntCos'!N476</f>
        <v>-1801.8584014077114</v>
      </c>
      <c r="L89" s="22">
        <f>'Schedule G IslIntCos'!O476-'Schedule F IslIntCos'!O476</f>
        <v>-2943.894361550123</v>
      </c>
      <c r="M89" s="22">
        <f>'Schedule G IslIntCos'!P476-'Schedule F IslIntCos'!P476</f>
        <v>-2701.3333371931094</v>
      </c>
      <c r="N89" s="22">
        <f>'Schedule G IslIntCos'!Q476-'Schedule F IslIntCos'!Q476</f>
        <v>-2843.051847996423</v>
      </c>
      <c r="O89" s="22">
        <f>'Schedule G IslIntCos'!R476-'Schedule F IslIntCos'!R476</f>
        <v>-535.29549271910878</v>
      </c>
      <c r="P89" s="22">
        <f>'Schedule G IslIntCos'!S476-'Schedule F IslIntCos'!S476</f>
        <v>-1810.4155294681523</v>
      </c>
      <c r="Q89" s="22">
        <f>'Schedule G IslIntCos'!T476-'Schedule F IslIntCos'!T476</f>
        <v>0</v>
      </c>
      <c r="R89" s="22">
        <f>'Schedule G IslIntCos'!U476-'Schedule F IslIntCos'!U476</f>
        <v>-5954.2728673679903</v>
      </c>
      <c r="S89" s="22">
        <f>'Schedule G IslIntCos'!V476-'Schedule F IslIntCos'!V476</f>
        <v>0</v>
      </c>
    </row>
    <row r="90" spans="1:19" ht="16.5" x14ac:dyDescent="0.3">
      <c r="A90" s="1">
        <v>58</v>
      </c>
      <c r="B90" s="17" t="s">
        <v>236</v>
      </c>
      <c r="C90" s="22">
        <f>'Schedule G IslIntCos'!F477-'Schedule F IslIntCos'!F477</f>
        <v>3.0553337637684308E-13</v>
      </c>
      <c r="D90" s="22">
        <f>'Schedule G IslIntCos'!G477-'Schedule F IslIntCos'!G477</f>
        <v>49.5347929168978</v>
      </c>
      <c r="E90" s="22">
        <f>'Schedule G IslIntCos'!H477-'Schedule F IslIntCos'!H477</f>
        <v>37.487671727802152</v>
      </c>
      <c r="F90" s="22">
        <f>'Schedule G IslIntCos'!I477-'Schedule F IslIntCos'!I477</f>
        <v>-11.101919754399443</v>
      </c>
      <c r="G90" s="22">
        <f>'Schedule G IslIntCos'!J477-'Schedule F IslIntCos'!J477</f>
        <v>-23.573455672903428</v>
      </c>
      <c r="H90" s="22">
        <f>'Schedule G IslIntCos'!K477-'Schedule F IslIntCos'!K477</f>
        <v>-19.119368412666923</v>
      </c>
      <c r="I90" s="22">
        <f>'Schedule G IslIntCos'!L477-'Schedule F IslIntCos'!L477</f>
        <v>-25.966439275957057</v>
      </c>
      <c r="J90" s="22">
        <f>'Schedule G IslIntCos'!M477-'Schedule F IslIntCos'!M477</f>
        <v>-0.22591703258182594</v>
      </c>
      <c r="K90" s="22">
        <f>'Schedule G IslIntCos'!N477-'Schedule F IslIntCos'!N477</f>
        <v>-2.5508049176501464</v>
      </c>
      <c r="L90" s="22">
        <f>'Schedule G IslIntCos'!O477-'Schedule F IslIntCos'!O477</f>
        <v>-0.13801303872453585</v>
      </c>
      <c r="M90" s="22">
        <f>'Schedule G IslIntCos'!P477-'Schedule F IslIntCos'!P477</f>
        <v>-3.8241486430571712</v>
      </c>
      <c r="N90" s="22">
        <f>'Schedule G IslIntCos'!Q477-'Schedule F IslIntCos'!Q477</f>
        <v>-0.13328542963980039</v>
      </c>
      <c r="O90" s="22">
        <f>'Schedule G IslIntCos'!R477-'Schedule F IslIntCos'!R477</f>
        <v>-2.5095247482593494E-2</v>
      </c>
      <c r="P90" s="22">
        <f>'Schedule G IslIntCos'!S477-'Schedule F IslIntCos'!S477</f>
        <v>-8.4874291631994531E-2</v>
      </c>
      <c r="Q90" s="22">
        <f>'Schedule G IslIntCos'!T477-'Schedule F IslIntCos'!T477</f>
        <v>0</v>
      </c>
      <c r="R90" s="22">
        <f>'Schedule G IslIntCos'!U477-'Schedule F IslIntCos'!U477</f>
        <v>-0.27914292800500051</v>
      </c>
      <c r="S90" s="22">
        <f>'Schedule G IslIntCos'!V477-'Schedule F IslIntCos'!V477</f>
        <v>0</v>
      </c>
    </row>
    <row r="91" spans="1:19" ht="16.5" x14ac:dyDescent="0.3">
      <c r="A91" s="1">
        <v>59</v>
      </c>
      <c r="B91" s="17" t="s">
        <v>238</v>
      </c>
      <c r="C91" s="22">
        <f>'Schedule G IslIntCos'!F478-'Schedule F IslIntCos'!F478</f>
        <v>-1.1641532182693481E-10</v>
      </c>
      <c r="D91" s="22">
        <f>'Schedule G IslIntCos'!G478-'Schedule F IslIntCos'!G478</f>
        <v>18281.580751599693</v>
      </c>
      <c r="E91" s="22">
        <f>'Schedule G IslIntCos'!H478-'Schedule F IslIntCos'!H478</f>
        <v>25465.394170766929</v>
      </c>
      <c r="F91" s="22">
        <f>'Schedule G IslIntCos'!I478-'Schedule F IslIntCos'!I478</f>
        <v>-4023.5264376519226</v>
      </c>
      <c r="G91" s="22">
        <f>'Schedule G IslIntCos'!J478-'Schedule F IslIntCos'!J478</f>
        <v>-8543.4253016606672</v>
      </c>
      <c r="H91" s="22">
        <f>'Schedule G IslIntCos'!K478-'Schedule F IslIntCos'!K478</f>
        <v>-6929.1875622761327</v>
      </c>
      <c r="I91" s="22">
        <f>'Schedule G IslIntCos'!L478-'Schedule F IslIntCos'!L478</f>
        <v>-9410.6836682092435</v>
      </c>
      <c r="J91" s="22">
        <f>'Schedule G IslIntCos'!M478-'Schedule F IslIntCos'!M478</f>
        <v>-2175.8993832430642</v>
      </c>
      <c r="K91" s="22">
        <f>'Schedule G IslIntCos'!N478-'Schedule F IslIntCos'!N478</f>
        <v>-924.45552215334692</v>
      </c>
      <c r="L91" s="22">
        <f>'Schedule G IslIntCos'!O478-'Schedule F IslIntCos'!O478</f>
        <v>-1329.2600491795629</v>
      </c>
      <c r="M91" s="22">
        <f>'Schedule G IslIntCos'!P478-'Schedule F IslIntCos'!P478</f>
        <v>-1385.9371628725635</v>
      </c>
      <c r="N91" s="22">
        <f>'Schedule G IslIntCos'!Q478-'Schedule F IslIntCos'!Q478</f>
        <v>-1283.7265116054787</v>
      </c>
      <c r="O91" s="22">
        <f>'Schedule G IslIntCos'!R478-'Schedule F IslIntCos'!R478</f>
        <v>-1152.9516457531608</v>
      </c>
      <c r="P91" s="22">
        <f>'Schedule G IslIntCos'!S478-'Schedule F IslIntCos'!S478</f>
        <v>-3899.3819163216594</v>
      </c>
      <c r="Q91" s="22">
        <f>'Schedule G IslIntCos'!T478-'Schedule F IslIntCos'!T478</f>
        <v>0</v>
      </c>
      <c r="R91" s="22">
        <f>'Schedule G IslIntCos'!U478-'Schedule F IslIntCos'!U478</f>
        <v>-2688.5397614398616</v>
      </c>
      <c r="S91" s="22">
        <f>'Schedule G IslIntCos'!V478-'Schedule F IslIntCos'!V478</f>
        <v>0</v>
      </c>
    </row>
    <row r="92" spans="1:19" ht="16.5" x14ac:dyDescent="0.3">
      <c r="A92" s="1">
        <v>60</v>
      </c>
      <c r="B92" s="17" t="s">
        <v>240</v>
      </c>
      <c r="C92" s="22">
        <f>'Schedule G IslIntCos'!F479-'Schedule F IslIntCos'!F479</f>
        <v>0</v>
      </c>
      <c r="D92" s="22">
        <f>'Schedule G IslIntCos'!G479-'Schedule F IslIntCos'!G479</f>
        <v>0</v>
      </c>
      <c r="E92" s="22">
        <f>'Schedule G IslIntCos'!H479-'Schedule F IslIntCos'!H479</f>
        <v>0</v>
      </c>
      <c r="F92" s="22">
        <f>'Schedule G IslIntCos'!I479-'Schedule F IslIntCos'!I479</f>
        <v>0</v>
      </c>
      <c r="G92" s="22">
        <f>'Schedule G IslIntCos'!J479-'Schedule F IslIntCos'!J479</f>
        <v>0</v>
      </c>
      <c r="H92" s="22">
        <f>'Schedule G IslIntCos'!K479-'Schedule F IslIntCos'!K479</f>
        <v>0</v>
      </c>
      <c r="I92" s="22">
        <f>'Schedule G IslIntCos'!L479-'Schedule F IslIntCos'!L479</f>
        <v>0</v>
      </c>
      <c r="J92" s="22">
        <f>'Schedule G IslIntCos'!M479-'Schedule F IslIntCos'!M479</f>
        <v>0</v>
      </c>
      <c r="K92" s="22">
        <f>'Schedule G IslIntCos'!N479-'Schedule F IslIntCos'!N479</f>
        <v>0</v>
      </c>
      <c r="L92" s="22">
        <f>'Schedule G IslIntCos'!O479-'Schedule F IslIntCos'!O479</f>
        <v>0</v>
      </c>
      <c r="M92" s="22">
        <f>'Schedule G IslIntCos'!P479-'Schedule F IslIntCos'!P479</f>
        <v>0</v>
      </c>
      <c r="N92" s="22">
        <f>'Schedule G IslIntCos'!Q479-'Schedule F IslIntCos'!Q479</f>
        <v>0</v>
      </c>
      <c r="O92" s="22">
        <f>'Schedule G IslIntCos'!R479-'Schedule F IslIntCos'!R479</f>
        <v>0</v>
      </c>
      <c r="P92" s="22">
        <f>'Schedule G IslIntCos'!S479-'Schedule F IslIntCos'!S479</f>
        <v>0</v>
      </c>
      <c r="Q92" s="22">
        <f>'Schedule G IslIntCos'!T479-'Schedule F IslIntCos'!T479</f>
        <v>0</v>
      </c>
      <c r="R92" s="22">
        <f>'Schedule G IslIntCos'!U479-'Schedule F IslIntCos'!U479</f>
        <v>0</v>
      </c>
      <c r="S92" s="22">
        <f>'Schedule G IslIntCos'!V479-'Schedule F IslIntCos'!V479</f>
        <v>0</v>
      </c>
    </row>
    <row r="93" spans="1:19" ht="16.5" x14ac:dyDescent="0.3">
      <c r="A93" s="1">
        <v>61</v>
      </c>
      <c r="B93" s="17" t="s">
        <v>242</v>
      </c>
      <c r="C93" s="22">
        <f>'Schedule G IslIntCos'!F480-'Schedule F IslIntCos'!F480</f>
        <v>0</v>
      </c>
      <c r="D93" s="22">
        <f>'Schedule G IslIntCos'!G480-'Schedule F IslIntCos'!G480</f>
        <v>10143.627517044566</v>
      </c>
      <c r="E93" s="22">
        <f>'Schedule G IslIntCos'!H480-'Schedule F IslIntCos'!H480</f>
        <v>16952.955184617174</v>
      </c>
      <c r="F93" s="22">
        <f>'Schedule G IslIntCos'!I480-'Schedule F IslIntCos'!I480</f>
        <v>-3436.003271954527</v>
      </c>
      <c r="G93" s="22">
        <f>'Schedule G IslIntCos'!J480-'Schedule F IslIntCos'!J480</f>
        <v>-7295.8977019513495</v>
      </c>
      <c r="H93" s="22">
        <f>'Schedule G IslIntCos'!K480-'Schedule F IslIntCos'!K480</f>
        <v>-5917.3741007805784</v>
      </c>
      <c r="I93" s="22">
        <f>'Schedule G IslIntCos'!L480-'Schedule F IslIntCos'!L480</f>
        <v>-8036.5173129485738</v>
      </c>
      <c r="J93" s="22">
        <f>'Schedule G IslIntCos'!M480-'Schedule F IslIntCos'!M480</f>
        <v>-77.142633534251701</v>
      </c>
      <c r="K93" s="22">
        <f>'Schedule G IslIntCos'!N480-'Schedule F IslIntCos'!N480</f>
        <v>-732.05076248751629</v>
      </c>
      <c r="L93" s="22">
        <f>'Schedule G IslIntCos'!O480-'Schedule F IslIntCos'!O480</f>
        <v>-47.126545296752653</v>
      </c>
      <c r="M93" s="22">
        <f>'Schedule G IslIntCos'!P480-'Schedule F IslIntCos'!P480</f>
        <v>-1097.485311653912</v>
      </c>
      <c r="N93" s="22">
        <f>'Schedule G IslIntCos'!Q480-'Schedule F IslIntCos'!Q480</f>
        <v>-45.512234897270659</v>
      </c>
      <c r="O93" s="22">
        <f>'Schedule G IslIntCos'!R480-'Schedule F IslIntCos'!R480</f>
        <v>-72.147242972918093</v>
      </c>
      <c r="P93" s="22">
        <f>'Schedule G IslIntCos'!S480-'Schedule F IslIntCos'!S480</f>
        <v>-244.00819895381164</v>
      </c>
      <c r="Q93" s="22">
        <f>'Schedule G IslIntCos'!T480-'Schedule F IslIntCos'!T480</f>
        <v>0</v>
      </c>
      <c r="R93" s="22">
        <f>'Schedule G IslIntCos'!U480-'Schedule F IslIntCos'!U480</f>
        <v>-95.317384230285143</v>
      </c>
      <c r="S93" s="22">
        <f>'Schedule G IslIntCos'!V480-'Schedule F IslIntCos'!V480</f>
        <v>0</v>
      </c>
    </row>
    <row r="94" spans="1:19" ht="16.5" x14ac:dyDescent="0.3">
      <c r="A94" s="1">
        <v>62</v>
      </c>
      <c r="B94" s="17" t="s">
        <v>244</v>
      </c>
      <c r="C94" s="22">
        <f>'Schedule G IslIntCos'!F481-'Schedule F IslIntCos'!F481</f>
        <v>4.3655745685100555E-11</v>
      </c>
      <c r="D94" s="22">
        <f>'Schedule G IslIntCos'!G481-'Schedule F IslIntCos'!G481</f>
        <v>4574.2823295465059</v>
      </c>
      <c r="E94" s="22">
        <f>'Schedule G IslIntCos'!H481-'Schedule F IslIntCos'!H481</f>
        <v>9835.1343867592368</v>
      </c>
      <c r="F94" s="22">
        <f>'Schedule G IslIntCos'!I481-'Schedule F IslIntCos'!I481</f>
        <v>-1934.3544376281666</v>
      </c>
      <c r="G94" s="22">
        <f>'Schedule G IslIntCos'!J481-'Schedule F IslIntCos'!J481</f>
        <v>-4107.3453600708644</v>
      </c>
      <c r="H94" s="22">
        <f>'Schedule G IslIntCos'!K481-'Schedule F IslIntCos'!K481</f>
        <v>-3331.2828728593759</v>
      </c>
      <c r="I94" s="22">
        <f>'Schedule G IslIntCos'!L481-'Schedule F IslIntCos'!L481</f>
        <v>-4524.289325992062</v>
      </c>
      <c r="J94" s="22">
        <f>'Schedule G IslIntCos'!M481-'Schedule F IslIntCos'!M481</f>
        <v>-7.1276552774340889</v>
      </c>
      <c r="K94" s="22">
        <f>'Schedule G IslIntCos'!N481-'Schedule F IslIntCos'!N481</f>
        <v>-183.43492741140227</v>
      </c>
      <c r="L94" s="22">
        <f>'Schedule G IslIntCos'!O481-'Schedule F IslIntCos'!O481</f>
        <v>-4.3542948160110928</v>
      </c>
      <c r="M94" s="22">
        <f>'Schedule G IslIntCos'!P481-'Schedule F IslIntCos'!P481</f>
        <v>-275.00434231396446</v>
      </c>
      <c r="N94" s="22">
        <f>'Schedule G IslIntCos'!Q481-'Schedule F IslIntCos'!Q481</f>
        <v>-4.2051393165015281</v>
      </c>
      <c r="O94" s="22">
        <f>'Schedule G IslIntCos'!R481-'Schedule F IslIntCos'!R481</f>
        <v>-6.6661021742265767</v>
      </c>
      <c r="P94" s="22">
        <f>'Schedule G IslIntCos'!S481-'Schedule F IslIntCos'!S481</f>
        <v>-22.54533255256456</v>
      </c>
      <c r="Q94" s="22">
        <f>'Schedule G IslIntCos'!T481-'Schedule F IslIntCos'!T481</f>
        <v>0</v>
      </c>
      <c r="R94" s="22">
        <f>'Schedule G IslIntCos'!U481-'Schedule F IslIntCos'!U481</f>
        <v>-8.8069258931710266</v>
      </c>
      <c r="S94" s="22">
        <f>'Schedule G IslIntCos'!V481-'Schedule F IslIntCos'!V481</f>
        <v>0</v>
      </c>
    </row>
    <row r="95" spans="1:19" ht="16.5" x14ac:dyDescent="0.3">
      <c r="A95" s="1">
        <v>63</v>
      </c>
      <c r="B95" s="17" t="s">
        <v>246</v>
      </c>
      <c r="C95" s="34">
        <f>'Schedule G IslIntCos'!F482-'Schedule F IslIntCos'!F482</f>
        <v>0</v>
      </c>
      <c r="D95" s="22">
        <f>'Schedule G IslIntCos'!G482-'Schedule F IslIntCos'!G482</f>
        <v>1489.9054676142978</v>
      </c>
      <c r="E95" s="22">
        <f>'Schedule G IslIntCos'!H482-'Schedule F IslIntCos'!H482</f>
        <v>1290.4457752639623</v>
      </c>
      <c r="F95" s="22">
        <f>'Schedule G IslIntCos'!I482-'Schedule F IslIntCos'!I482</f>
        <v>-64.551356984725885</v>
      </c>
      <c r="G95" s="22">
        <f>'Schedule G IslIntCos'!J482-'Schedule F IslIntCos'!J482</f>
        <v>-137.06625396046365</v>
      </c>
      <c r="H95" s="22">
        <f>'Schedule G IslIntCos'!K482-'Schedule F IslIntCos'!K482</f>
        <v>-111.16826666302245</v>
      </c>
      <c r="I95" s="22">
        <f>'Schedule G IslIntCos'!L482-'Schedule F IslIntCos'!L482</f>
        <v>-150.98009429047465</v>
      </c>
      <c r="J95" s="22">
        <f>'Schedule G IslIntCos'!M482-'Schedule F IslIntCos'!M482</f>
        <v>-293.08320655808757</v>
      </c>
      <c r="K95" s="22">
        <f>'Schedule G IslIntCos'!N482-'Schedule F IslIntCos'!N482</f>
        <v>-14.831481624822459</v>
      </c>
      <c r="L95" s="22">
        <f>'Schedule G IslIntCos'!O482-'Schedule F IslIntCos'!O482</f>
        <v>-179.04495059070837</v>
      </c>
      <c r="M95" s="22">
        <f>'Schedule G IslIntCos'!P482-'Schedule F IslIntCos'!P482</f>
        <v>-22.23525207186043</v>
      </c>
      <c r="N95" s="22">
        <f>'Schedule G IslIntCos'!Q482-'Schedule F IslIntCos'!Q482</f>
        <v>-172.91180155775282</v>
      </c>
      <c r="O95" s="22">
        <f>'Schedule G IslIntCos'!R482-'Schedule F IslIntCos'!R482</f>
        <v>0</v>
      </c>
      <c r="P95" s="22">
        <f>'Schedule G IslIntCos'!S482-'Schedule F IslIntCos'!S482</f>
        <v>0</v>
      </c>
      <c r="Q95" s="22">
        <f>'Schedule G IslIntCos'!T482-'Schedule F IslIntCos'!T482</f>
        <v>-1272.3451728178061</v>
      </c>
      <c r="R95" s="22">
        <f>'Schedule G IslIntCos'!U482-'Schedule F IslIntCos'!U482</f>
        <v>-362.13340575853636</v>
      </c>
      <c r="S95" s="22">
        <f>'Schedule G IslIntCos'!V482-'Schedule F IslIntCos'!V482</f>
        <v>0</v>
      </c>
    </row>
    <row r="96" spans="1:19" ht="16.5" x14ac:dyDescent="0.3">
      <c r="A96" s="1">
        <v>64</v>
      </c>
      <c r="B96" s="20" t="s">
        <v>247</v>
      </c>
      <c r="C96" s="30">
        <f>'Schedule G IslIntCos'!F483-'Schedule F IslIntCos'!F483</f>
        <v>1.0216893997494481E-10</v>
      </c>
      <c r="D96" s="30">
        <f>'Schedule G IslIntCos'!G483-'Schedule F IslIntCos'!G483</f>
        <v>104737.06337807659</v>
      </c>
      <c r="E96" s="30">
        <f>'Schedule G IslIntCos'!H483-'Schedule F IslIntCos'!H483</f>
        <v>125508.34277649433</v>
      </c>
      <c r="F96" s="30">
        <f>'Schedule G IslIntCos'!I483-'Schedule F IslIntCos'!I483</f>
        <v>-22759.431090250626</v>
      </c>
      <c r="G96" s="30">
        <f>'Schedule G IslIntCos'!J483-'Schedule F IslIntCos'!J483</f>
        <v>-48326.636457078828</v>
      </c>
      <c r="H96" s="30">
        <f>'Schedule G IslIntCos'!K483-'Schedule F IslIntCos'!K483</f>
        <v>-39195.558741520188</v>
      </c>
      <c r="I96" s="30">
        <f>'Schedule G IslIntCos'!L483-'Schedule F IslIntCos'!L483</f>
        <v>-53232.359666996257</v>
      </c>
      <c r="J96" s="30">
        <f>'Schedule G IslIntCos'!M483-'Schedule F IslIntCos'!M483</f>
        <v>-12497.580814139597</v>
      </c>
      <c r="K96" s="30">
        <f>'Schedule G IslIntCos'!N483-'Schedule F IslIntCos'!N483</f>
        <v>-4910.8427879548326</v>
      </c>
      <c r="L96" s="30">
        <f>'Schedule G IslIntCos'!O483-'Schedule F IslIntCos'!O483</f>
        <v>-7634.7900162868063</v>
      </c>
      <c r="M96" s="30">
        <f>'Schedule G IslIntCos'!P483-'Schedule F IslIntCos'!P483</f>
        <v>-7362.3006815922636</v>
      </c>
      <c r="N96" s="30">
        <f>'Schedule G IslIntCos'!Q483-'Schedule F IslIntCos'!Q483</f>
        <v>-7373.2618087013761</v>
      </c>
      <c r="O96" s="30">
        <f>'Schedule G IslIntCos'!R483-'Schedule F IslIntCos'!R483</f>
        <v>-2336.3978188820756</v>
      </c>
      <c r="P96" s="30">
        <f>'Schedule G IslIntCos'!S483-'Schedule F IslIntCos'!S483</f>
        <v>-7901.8989546007724</v>
      </c>
      <c r="Q96" s="30">
        <f>'Schedule G IslIntCos'!T483-'Schedule F IslIntCos'!T483</f>
        <v>-1272.3451728178061</v>
      </c>
      <c r="R96" s="30">
        <f>'Schedule G IslIntCos'!U483-'Schedule F IslIntCos'!U483</f>
        <v>-15442.002143749341</v>
      </c>
      <c r="S96" s="30">
        <f>'Schedule G IslIntCos'!V483-'Schedule F IslIntCos'!V483</f>
        <v>0</v>
      </c>
    </row>
    <row r="97" spans="1:19" ht="17.25" thickBot="1" x14ac:dyDescent="0.35">
      <c r="A97" s="1">
        <v>65</v>
      </c>
      <c r="B97" s="20" t="s">
        <v>248</v>
      </c>
      <c r="C97" s="55">
        <f>'Schedule G IslIntCos'!F484-'Schedule F IslIntCos'!F484</f>
        <v>1.0216893997494481E-10</v>
      </c>
      <c r="D97" s="55">
        <f>'Schedule G IslIntCos'!G484-'Schedule F IslIntCos'!G484</f>
        <v>114166.3340605601</v>
      </c>
      <c r="E97" s="55">
        <f>'Schedule G IslIntCos'!H484-'Schedule F IslIntCos'!H484</f>
        <v>162322.50195041066</v>
      </c>
      <c r="F97" s="55">
        <f>'Schedule G IslIntCos'!I484-'Schedule F IslIntCos'!I484</f>
        <v>-67004.600518934647</v>
      </c>
      <c r="G97" s="55">
        <f>'Schedule G IslIntCos'!J484-'Schedule F IslIntCos'!J484</f>
        <v>-48326.636457078828</v>
      </c>
      <c r="H97" s="55">
        <f>'Schedule G IslIntCos'!K484-'Schedule F IslIntCos'!K484</f>
        <v>-39195.558741520188</v>
      </c>
      <c r="I97" s="55">
        <f>'Schedule G IslIntCos'!L484-'Schedule F IslIntCos'!L484</f>
        <v>-53232.359666996257</v>
      </c>
      <c r="J97" s="55">
        <f>'Schedule G IslIntCos'!M484-'Schedule F IslIntCos'!M484</f>
        <v>-12497.580814139597</v>
      </c>
      <c r="K97" s="55">
        <f>'Schedule G IslIntCos'!N484-'Schedule F IslIntCos'!N484</f>
        <v>-4910.8427879548326</v>
      </c>
      <c r="L97" s="55">
        <f>'Schedule G IslIntCos'!O484-'Schedule F IslIntCos'!O484</f>
        <v>-7634.7900162868063</v>
      </c>
      <c r="M97" s="55">
        <f>'Schedule G IslIntCos'!P484-'Schedule F IslIntCos'!P484</f>
        <v>-7362.3006815922636</v>
      </c>
      <c r="N97" s="55">
        <f>'Schedule G IslIntCos'!Q484-'Schedule F IslIntCos'!Q484</f>
        <v>-7373.2618087013761</v>
      </c>
      <c r="O97" s="55">
        <f>'Schedule G IslIntCos'!R484-'Schedule F IslIntCos'!R484</f>
        <v>-2336.3978188820756</v>
      </c>
      <c r="P97" s="55">
        <f>'Schedule G IslIntCos'!S484-'Schedule F IslIntCos'!S484</f>
        <v>-7901.8989546007724</v>
      </c>
      <c r="Q97" s="55">
        <f>'Schedule G IslIntCos'!T484-'Schedule F IslIntCos'!T484</f>
        <v>-1272.3451728178061</v>
      </c>
      <c r="R97" s="55">
        <f>'Schedule G IslIntCos'!U484-'Schedule F IslIntCos'!U484</f>
        <v>-15442.002143749341</v>
      </c>
      <c r="S97" s="55">
        <f>'Schedule G IslIntCos'!V484-'Schedule F IslIntCos'!V484</f>
        <v>-1998.2604277158453</v>
      </c>
    </row>
    <row r="98" spans="1:19" ht="17.25" thickTop="1" x14ac:dyDescent="0.3">
      <c r="A98" s="1"/>
      <c r="B98" s="20" t="s">
        <v>264</v>
      </c>
      <c r="C98" s="64">
        <f>'Schedule G IslIntCos'!F485-'Schedule F IslIntCos'!F485</f>
        <v>0</v>
      </c>
      <c r="D98" s="64">
        <f>'Schedule G IslIntCos'!G485-'Schedule F IslIntCos'!G485</f>
        <v>0</v>
      </c>
      <c r="E98" s="64">
        <f>'Schedule G IslIntCos'!H485-'Schedule F IslIntCos'!H485</f>
        <v>0</v>
      </c>
      <c r="F98" s="64">
        <f>'Schedule G IslIntCos'!I485-'Schedule F IslIntCos'!I485</f>
        <v>0</v>
      </c>
      <c r="G98" s="64">
        <f>'Schedule G IslIntCos'!J485-'Schedule F IslIntCos'!J485</f>
        <v>0</v>
      </c>
      <c r="H98" s="64">
        <f>'Schedule G IslIntCos'!K485-'Schedule F IslIntCos'!K485</f>
        <v>0</v>
      </c>
      <c r="I98" s="64">
        <f>'Schedule G IslIntCos'!L485-'Schedule F IslIntCos'!L485</f>
        <v>0</v>
      </c>
      <c r="J98" s="64">
        <f>'Schedule G IslIntCos'!M485-'Schedule F IslIntCos'!M485</f>
        <v>0</v>
      </c>
      <c r="K98" s="64">
        <f>'Schedule G IslIntCos'!N485-'Schedule F IslIntCos'!N485</f>
        <v>0</v>
      </c>
      <c r="L98" s="64">
        <f>'Schedule G IslIntCos'!O485-'Schedule F IslIntCos'!O485</f>
        <v>0</v>
      </c>
      <c r="M98" s="64">
        <f>'Schedule G IslIntCos'!P485-'Schedule F IslIntCos'!P485</f>
        <v>0</v>
      </c>
      <c r="N98" s="64">
        <f>'Schedule G IslIntCos'!Q485-'Schedule F IslIntCos'!Q485</f>
        <v>0</v>
      </c>
      <c r="O98" s="64">
        <f>'Schedule G IslIntCos'!R485-'Schedule F IslIntCos'!R485</f>
        <v>0</v>
      </c>
      <c r="P98" s="64">
        <f>'Schedule G IslIntCos'!S485-'Schedule F IslIntCos'!S485</f>
        <v>0</v>
      </c>
      <c r="Q98" s="64">
        <f>'Schedule G IslIntCos'!T485-'Schedule F IslIntCos'!T485</f>
        <v>0</v>
      </c>
      <c r="R98" s="64">
        <f>'Schedule G IslIntCos'!U485-'Schedule F IslIntCos'!U485</f>
        <v>0</v>
      </c>
      <c r="S98" s="64">
        <f>'Schedule G IslIntCos'!V485-'Schedule F IslIntCos'!V485</f>
        <v>0</v>
      </c>
    </row>
    <row r="99" spans="1:19" ht="16.5" x14ac:dyDescent="0.3">
      <c r="A99" s="1">
        <v>66</v>
      </c>
      <c r="B99" s="6" t="s">
        <v>224</v>
      </c>
      <c r="C99" s="22">
        <f>'Schedule G IslIntCos'!F486-'Schedule F IslIntCos'!F486</f>
        <v>435587126.90141916</v>
      </c>
      <c r="D99" s="22">
        <f>'Schedule G IslIntCos'!G486-'Schedule F IslIntCos'!G486</f>
        <v>221447674.15710223</v>
      </c>
      <c r="E99" s="22">
        <f>'Schedule G IslIntCos'!H486-'Schedule F IslIntCos'!H486</f>
        <v>214182543.39712721</v>
      </c>
      <c r="F99" s="22">
        <f>'Schedule G IslIntCos'!I486-'Schedule F IslIntCos'!I486</f>
        <v>-41409.549804091454</v>
      </c>
      <c r="G99" s="22">
        <f>'Schedule G IslIntCos'!J486-'Schedule F IslIntCos'!J486</f>
        <v>0</v>
      </c>
      <c r="H99" s="22">
        <f>'Schedule G IslIntCos'!K486-'Schedule F IslIntCos'!K486</f>
        <v>0</v>
      </c>
      <c r="I99" s="22">
        <f>'Schedule G IslIntCos'!L486-'Schedule F IslIntCos'!L486</f>
        <v>0</v>
      </c>
      <c r="J99" s="22">
        <f>'Schedule G IslIntCos'!M486-'Schedule F IslIntCos'!M486</f>
        <v>0</v>
      </c>
      <c r="K99" s="22">
        <f>'Schedule G IslIntCos'!N486-'Schedule F IslIntCos'!N486</f>
        <v>0</v>
      </c>
      <c r="L99" s="22">
        <f>'Schedule G IslIntCos'!O486-'Schedule F IslIntCos'!O486</f>
        <v>0</v>
      </c>
      <c r="M99" s="22">
        <f>'Schedule G IslIntCos'!P486-'Schedule F IslIntCos'!P486</f>
        <v>0</v>
      </c>
      <c r="N99" s="22">
        <f>'Schedule G IslIntCos'!Q486-'Schedule F IslIntCos'!Q486</f>
        <v>0</v>
      </c>
      <c r="O99" s="22">
        <f>'Schedule G IslIntCos'!R486-'Schedule F IslIntCos'!R486</f>
        <v>0</v>
      </c>
      <c r="P99" s="22">
        <f>'Schedule G IslIntCos'!S486-'Schedule F IslIntCos'!S486</f>
        <v>0</v>
      </c>
      <c r="Q99" s="22">
        <f>'Schedule G IslIntCos'!T486-'Schedule F IslIntCos'!T486</f>
        <v>0</v>
      </c>
      <c r="R99" s="22">
        <f>'Schedule G IslIntCos'!U486-'Schedule F IslIntCos'!U486</f>
        <v>0</v>
      </c>
      <c r="S99" s="22">
        <f>'Schedule G IslIntCos'!V486-'Schedule F IslIntCos'!V486</f>
        <v>-1681.1030061990023</v>
      </c>
    </row>
    <row r="100" spans="1:19" ht="16.5" x14ac:dyDescent="0.3">
      <c r="A100" s="1">
        <v>67</v>
      </c>
      <c r="B100" s="17" t="s">
        <v>227</v>
      </c>
      <c r="C100" s="22">
        <f>'Schedule G IslIntCos'!F487-'Schedule F IslIntCos'!F487</f>
        <v>34269260.353916042</v>
      </c>
      <c r="D100" s="22">
        <f>'Schedule G IslIntCos'!G487-'Schedule F IslIntCos'!G487</f>
        <v>12430211.762981359</v>
      </c>
      <c r="E100" s="22">
        <f>'Schedule G IslIntCos'!H487-'Schedule F IslIntCos'!H487</f>
        <v>21842201.367980789</v>
      </c>
      <c r="F100" s="22">
        <f>'Schedule G IslIntCos'!I487-'Schedule F IslIntCos'!I487</f>
        <v>-2835.6196245951578</v>
      </c>
      <c r="G100" s="22">
        <f>'Schedule G IslIntCos'!J487-'Schedule F IslIntCos'!J487</f>
        <v>0</v>
      </c>
      <c r="H100" s="22">
        <f>'Schedule G IslIntCos'!K487-'Schedule F IslIntCos'!K487</f>
        <v>0</v>
      </c>
      <c r="I100" s="22">
        <f>'Schedule G IslIntCos'!L487-'Schedule F IslIntCos'!L487</f>
        <v>0</v>
      </c>
      <c r="J100" s="22">
        <f>'Schedule G IslIntCos'!M487-'Schedule F IslIntCos'!M487</f>
        <v>0</v>
      </c>
      <c r="K100" s="22">
        <f>'Schedule G IslIntCos'!N487-'Schedule F IslIntCos'!N487</f>
        <v>0</v>
      </c>
      <c r="L100" s="22">
        <f>'Schedule G IslIntCos'!O487-'Schedule F IslIntCos'!O487</f>
        <v>0</v>
      </c>
      <c r="M100" s="22">
        <f>'Schedule G IslIntCos'!P487-'Schedule F IslIntCos'!P487</f>
        <v>0</v>
      </c>
      <c r="N100" s="22">
        <f>'Schedule G IslIntCos'!Q487-'Schedule F IslIntCos'!Q487</f>
        <v>0</v>
      </c>
      <c r="O100" s="22">
        <f>'Schedule G IslIntCos'!R487-'Schedule F IslIntCos'!R487</f>
        <v>0</v>
      </c>
      <c r="P100" s="22">
        <f>'Schedule G IslIntCos'!S487-'Schedule F IslIntCos'!S487</f>
        <v>0</v>
      </c>
      <c r="Q100" s="22">
        <f>'Schedule G IslIntCos'!T487-'Schedule F IslIntCos'!T487</f>
        <v>0</v>
      </c>
      <c r="R100" s="22">
        <f>'Schedule G IslIntCos'!U487-'Schedule F IslIntCos'!U487</f>
        <v>0</v>
      </c>
      <c r="S100" s="22">
        <f>'Schedule G IslIntCos'!V487-'Schedule F IslIntCos'!V487</f>
        <v>-317.15742151683662</v>
      </c>
    </row>
    <row r="101" spans="1:19" ht="16.5" x14ac:dyDescent="0.3">
      <c r="A101" s="1">
        <v>68</v>
      </c>
      <c r="B101" s="17" t="s">
        <v>229</v>
      </c>
      <c r="C101" s="22">
        <f>'Schedule G IslIntCos'!F488-'Schedule F IslIntCos'!F488</f>
        <v>0</v>
      </c>
      <c r="D101" s="22">
        <f>'Schedule G IslIntCos'!G488-'Schedule F IslIntCos'!G488</f>
        <v>0</v>
      </c>
      <c r="E101" s="22">
        <f>'Schedule G IslIntCos'!H488-'Schedule F IslIntCos'!H488</f>
        <v>0</v>
      </c>
      <c r="F101" s="22">
        <f>'Schedule G IslIntCos'!I488-'Schedule F IslIntCos'!I488</f>
        <v>0</v>
      </c>
      <c r="G101" s="22">
        <f>'Schedule G IslIntCos'!J488-'Schedule F IslIntCos'!J488</f>
        <v>0</v>
      </c>
      <c r="H101" s="22">
        <f>'Schedule G IslIntCos'!K488-'Schedule F IslIntCos'!K488</f>
        <v>0</v>
      </c>
      <c r="I101" s="22">
        <f>'Schedule G IslIntCos'!L488-'Schedule F IslIntCos'!L488</f>
        <v>0</v>
      </c>
      <c r="J101" s="22">
        <f>'Schedule G IslIntCos'!M488-'Schedule F IslIntCos'!M488</f>
        <v>0</v>
      </c>
      <c r="K101" s="22">
        <f>'Schedule G IslIntCos'!N488-'Schedule F IslIntCos'!N488</f>
        <v>0</v>
      </c>
      <c r="L101" s="22">
        <f>'Schedule G IslIntCos'!O488-'Schedule F IslIntCos'!O488</f>
        <v>0</v>
      </c>
      <c r="M101" s="22">
        <f>'Schedule G IslIntCos'!P488-'Schedule F IslIntCos'!P488</f>
        <v>0</v>
      </c>
      <c r="N101" s="22">
        <f>'Schedule G IslIntCos'!Q488-'Schedule F IslIntCos'!Q488</f>
        <v>0</v>
      </c>
      <c r="O101" s="22">
        <f>'Schedule G IslIntCos'!R488-'Schedule F IslIntCos'!R488</f>
        <v>0</v>
      </c>
      <c r="P101" s="22">
        <f>'Schedule G IslIntCos'!S488-'Schedule F IslIntCos'!S488</f>
        <v>0</v>
      </c>
      <c r="Q101" s="22">
        <f>'Schedule G IslIntCos'!T488-'Schedule F IslIntCos'!T488</f>
        <v>0</v>
      </c>
      <c r="R101" s="22">
        <f>'Schedule G IslIntCos'!U488-'Schedule F IslIntCos'!U488</f>
        <v>0</v>
      </c>
      <c r="S101" s="22">
        <f>'Schedule G IslIntCos'!V488-'Schedule F IslIntCos'!V488</f>
        <v>0</v>
      </c>
    </row>
    <row r="102" spans="1:19" ht="16.5" x14ac:dyDescent="0.3">
      <c r="A102" s="1"/>
      <c r="B102" s="20" t="s">
        <v>230</v>
      </c>
      <c r="C102" s="22">
        <f>'Schedule G IslIntCos'!F489-'Schedule F IslIntCos'!F489</f>
        <v>0</v>
      </c>
      <c r="D102" s="22">
        <f>'Schedule G IslIntCos'!G489-'Schedule F IslIntCos'!G489</f>
        <v>0</v>
      </c>
      <c r="E102" s="22">
        <f>'Schedule G IslIntCos'!H489-'Schedule F IslIntCos'!H489</f>
        <v>0</v>
      </c>
      <c r="F102" s="22">
        <f>'Schedule G IslIntCos'!I489-'Schedule F IslIntCos'!I489</f>
        <v>0</v>
      </c>
      <c r="G102" s="22">
        <f>'Schedule G IslIntCos'!J489-'Schedule F IslIntCos'!J489</f>
        <v>0</v>
      </c>
      <c r="H102" s="22">
        <f>'Schedule G IslIntCos'!K489-'Schedule F IslIntCos'!K489</f>
        <v>0</v>
      </c>
      <c r="I102" s="22">
        <f>'Schedule G IslIntCos'!L489-'Schedule F IslIntCos'!L489</f>
        <v>0</v>
      </c>
      <c r="J102" s="22">
        <f>'Schedule G IslIntCos'!M489-'Schedule F IslIntCos'!M489</f>
        <v>0</v>
      </c>
      <c r="K102" s="22">
        <f>'Schedule G IslIntCos'!N489-'Schedule F IslIntCos'!N489</f>
        <v>0</v>
      </c>
      <c r="L102" s="22">
        <f>'Schedule G IslIntCos'!O489-'Schedule F IslIntCos'!O489</f>
        <v>0</v>
      </c>
      <c r="M102" s="22">
        <f>'Schedule G IslIntCos'!P489-'Schedule F IslIntCos'!P489</f>
        <v>0</v>
      </c>
      <c r="N102" s="22">
        <f>'Schedule G IslIntCos'!Q489-'Schedule F IslIntCos'!Q489</f>
        <v>0</v>
      </c>
      <c r="O102" s="22">
        <f>'Schedule G IslIntCos'!R489-'Schedule F IslIntCos'!R489</f>
        <v>0</v>
      </c>
      <c r="P102" s="22">
        <f>'Schedule G IslIntCos'!S489-'Schedule F IslIntCos'!S489</f>
        <v>0</v>
      </c>
      <c r="Q102" s="22">
        <f>'Schedule G IslIntCos'!T489-'Schedule F IslIntCos'!T489</f>
        <v>0</v>
      </c>
      <c r="R102" s="22">
        <f>'Schedule G IslIntCos'!U489-'Schedule F IslIntCos'!U489</f>
        <v>0</v>
      </c>
      <c r="S102" s="22">
        <f>'Schedule G IslIntCos'!V489-'Schedule F IslIntCos'!V489</f>
        <v>0</v>
      </c>
    </row>
    <row r="103" spans="1:19" ht="16.5" x14ac:dyDescent="0.3">
      <c r="A103" s="1">
        <v>69</v>
      </c>
      <c r="B103" s="17" t="s">
        <v>232</v>
      </c>
      <c r="C103" s="22">
        <f>'Schedule G IslIntCos'!F490-'Schedule F IslIntCos'!F490</f>
        <v>9230667.1717782021</v>
      </c>
      <c r="D103" s="22">
        <f>'Schedule G IslIntCos'!G490-'Schedule F IslIntCos'!G490</f>
        <v>5045160.2249577986</v>
      </c>
      <c r="E103" s="22">
        <f>'Schedule G IslIntCos'!H490-'Schedule F IslIntCos'!H490</f>
        <v>4247880.5923106242</v>
      </c>
      <c r="F103" s="22">
        <f>'Schedule G IslIntCos'!I490-'Schedule F IslIntCos'!I490</f>
        <v>-5447.6289588499349</v>
      </c>
      <c r="G103" s="22">
        <f>'Schedule G IslIntCos'!J490-'Schedule F IslIntCos'!J490</f>
        <v>-11567.318321949337</v>
      </c>
      <c r="H103" s="22">
        <f>'Schedule G IslIntCos'!K490-'Schedule F IslIntCos'!K490</f>
        <v>-9381.7310288599692</v>
      </c>
      <c r="I103" s="22">
        <f>'Schedule G IslIntCos'!L490-'Schedule F IslIntCos'!L490</f>
        <v>-12741.537471649237</v>
      </c>
      <c r="J103" s="22">
        <f>'Schedule G IslIntCos'!M490-'Schedule F IslIntCos'!M490</f>
        <v>-5125.1669052457437</v>
      </c>
      <c r="K103" s="22">
        <f>'Schedule G IslIntCos'!N490-'Schedule F IslIntCos'!N490</f>
        <v>-1251.6608879523701</v>
      </c>
      <c r="L103" s="22">
        <f>'Schedule G IslIntCos'!O490-'Schedule F IslIntCos'!O490</f>
        <v>-3130.971801814856</v>
      </c>
      <c r="M103" s="22">
        <f>'Schedule G IslIntCos'!P490-'Schedule F IslIntCos'!P490</f>
        <v>-1876.4811268438352</v>
      </c>
      <c r="N103" s="22">
        <f>'Schedule G IslIntCos'!Q490-'Schedule F IslIntCos'!Q490</f>
        <v>-3023.7209878982976</v>
      </c>
      <c r="O103" s="22">
        <f>'Schedule G IslIntCos'!R490-'Schedule F IslIntCos'!R490</f>
        <v>-569.31224001516239</v>
      </c>
      <c r="P103" s="22">
        <f>'Schedule G IslIntCos'!S490-'Schedule F IslIntCos'!S490</f>
        <v>-1925.4631030128803</v>
      </c>
      <c r="Q103" s="22">
        <f>'Schedule G IslIntCos'!T490-'Schedule F IslIntCos'!T490</f>
        <v>0</v>
      </c>
      <c r="R103" s="22">
        <f>'Schedule G IslIntCos'!U490-'Schedule F IslIntCos'!U490</f>
        <v>-6332.6526561316568</v>
      </c>
      <c r="S103" s="22">
        <f>'Schedule G IslIntCos'!V490-'Schedule F IslIntCos'!V490</f>
        <v>0</v>
      </c>
    </row>
    <row r="104" spans="1:19" ht="16.5" x14ac:dyDescent="0.3">
      <c r="A104" s="1">
        <v>70</v>
      </c>
      <c r="B104" s="17" t="s">
        <v>234</v>
      </c>
      <c r="C104" s="22">
        <f>'Schedule G IslIntCos'!F491-'Schedule F IslIntCos'!F491</f>
        <v>11504905.165422928</v>
      </c>
      <c r="D104" s="22">
        <f>'Schedule G IslIntCos'!G491-'Schedule F IslIntCos'!G491</f>
        <v>5856329.5658648154</v>
      </c>
      <c r="E104" s="22">
        <f>'Schedule G IslIntCos'!H491-'Schedule F IslIntCos'!H491</f>
        <v>5728327.0121746026</v>
      </c>
      <c r="F104" s="22">
        <f>'Schedule G IslIntCos'!I491-'Schedule F IslIntCos'!I491</f>
        <v>-7842.2647074267734</v>
      </c>
      <c r="G104" s="22">
        <f>'Schedule G IslIntCos'!J491-'Schedule F IslIntCos'!J491</f>
        <v>-16652.010061813518</v>
      </c>
      <c r="H104" s="22">
        <f>'Schedule G IslIntCos'!K491-'Schedule F IslIntCos'!K491</f>
        <v>-13505.695541668218</v>
      </c>
      <c r="I104" s="22">
        <f>'Schedule G IslIntCos'!L491-'Schedule F IslIntCos'!L491</f>
        <v>-18342.385354630649</v>
      </c>
      <c r="J104" s="22">
        <f>'Schedule G IslIntCos'!M491-'Schedule F IslIntCos'!M491</f>
        <v>-4818.9351132481825</v>
      </c>
      <c r="K104" s="22">
        <f>'Schedule G IslIntCos'!N491-'Schedule F IslIntCos'!N491</f>
        <v>-1801.8584014077205</v>
      </c>
      <c r="L104" s="22">
        <f>'Schedule G IslIntCos'!O491-'Schedule F IslIntCos'!O491</f>
        <v>-2943.8943615501048</v>
      </c>
      <c r="M104" s="22">
        <f>'Schedule G IslIntCos'!P491-'Schedule F IslIntCos'!P491</f>
        <v>-2701.3333371931221</v>
      </c>
      <c r="N104" s="22">
        <f>'Schedule G IslIntCos'!Q491-'Schedule F IslIntCos'!Q491</f>
        <v>-2843.051847996423</v>
      </c>
      <c r="O104" s="22">
        <f>'Schedule G IslIntCos'!R491-'Schedule F IslIntCos'!R491</f>
        <v>-535.29549271911674</v>
      </c>
      <c r="P104" s="22">
        <f>'Schedule G IslIntCos'!S491-'Schedule F IslIntCos'!S491</f>
        <v>-1810.415529468155</v>
      </c>
      <c r="Q104" s="22">
        <f>'Schedule G IslIntCos'!T491-'Schedule F IslIntCos'!T491</f>
        <v>0</v>
      </c>
      <c r="R104" s="22">
        <f>'Schedule G IslIntCos'!U491-'Schedule F IslIntCos'!U491</f>
        <v>-5954.2728673680685</v>
      </c>
      <c r="S104" s="22">
        <f>'Schedule G IslIntCos'!V491-'Schedule F IslIntCos'!V491</f>
        <v>0</v>
      </c>
    </row>
    <row r="105" spans="1:19" ht="16.5" x14ac:dyDescent="0.3">
      <c r="A105" s="1">
        <v>71</v>
      </c>
      <c r="B105" s="17" t="s">
        <v>236</v>
      </c>
      <c r="C105" s="22">
        <f>'Schedule G IslIntCos'!F492-'Schedule F IslIntCos'!F492</f>
        <v>33536.127151061184</v>
      </c>
      <c r="D105" s="22">
        <f>'Schedule G IslIntCos'!G492-'Schedule F IslIntCos'!G492</f>
        <v>20213.100988364695</v>
      </c>
      <c r="E105" s="22">
        <f>'Schedule G IslIntCos'!H492-'Schedule F IslIntCos'!H492</f>
        <v>13410.048627341177</v>
      </c>
      <c r="F105" s="22">
        <f>'Schedule G IslIntCos'!I492-'Schedule F IslIntCos'!I492</f>
        <v>-11.101919754399205</v>
      </c>
      <c r="G105" s="22">
        <f>'Schedule G IslIntCos'!J492-'Schedule F IslIntCos'!J492</f>
        <v>-23.573455672903947</v>
      </c>
      <c r="H105" s="22">
        <f>'Schedule G IslIntCos'!K492-'Schedule F IslIntCos'!K492</f>
        <v>-19.119368412666518</v>
      </c>
      <c r="I105" s="22">
        <f>'Schedule G IslIntCos'!L492-'Schedule F IslIntCos'!L492</f>
        <v>-25.966439275956873</v>
      </c>
      <c r="J105" s="22">
        <f>'Schedule G IslIntCos'!M492-'Schedule F IslIntCos'!M492</f>
        <v>-0.22591703258181894</v>
      </c>
      <c r="K105" s="22">
        <f>'Schedule G IslIntCos'!N492-'Schedule F IslIntCos'!N492</f>
        <v>-2.5508049176501117</v>
      </c>
      <c r="L105" s="22">
        <f>'Schedule G IslIntCos'!O492-'Schedule F IslIntCos'!O492</f>
        <v>-0.1380130387245373</v>
      </c>
      <c r="M105" s="22">
        <f>'Schedule G IslIntCos'!P492-'Schedule F IslIntCos'!P492</f>
        <v>-3.8241486430574696</v>
      </c>
      <c r="N105" s="22">
        <f>'Schedule G IslIntCos'!Q492-'Schedule F IslIntCos'!Q492</f>
        <v>-0.13328542963979828</v>
      </c>
      <c r="O105" s="22">
        <f>'Schedule G IslIntCos'!R492-'Schedule F IslIntCos'!R492</f>
        <v>-2.5095247482592953E-2</v>
      </c>
      <c r="P105" s="22">
        <f>'Schedule G IslIntCos'!S492-'Schedule F IslIntCos'!S492</f>
        <v>-8.4874291631997778E-2</v>
      </c>
      <c r="Q105" s="22">
        <f>'Schedule G IslIntCos'!T492-'Schedule F IslIntCos'!T492</f>
        <v>0</v>
      </c>
      <c r="R105" s="22">
        <f>'Schedule G IslIntCos'!U492-'Schedule F IslIntCos'!U492</f>
        <v>-0.27914292800500107</v>
      </c>
      <c r="S105" s="22">
        <f>'Schedule G IslIntCos'!V492-'Schedule F IslIntCos'!V492</f>
        <v>0</v>
      </c>
    </row>
    <row r="106" spans="1:19" ht="16.5" x14ac:dyDescent="0.3">
      <c r="A106" s="1">
        <v>72</v>
      </c>
      <c r="B106" s="17" t="s">
        <v>238</v>
      </c>
      <c r="C106" s="22">
        <f>'Schedule G IslIntCos'!F493-'Schedule F IslIntCos'!F493</f>
        <v>5130916.3975190781</v>
      </c>
      <c r="D106" s="22">
        <f>'Schedule G IslIntCos'!G493-'Schedule F IslIntCos'!G493</f>
        <v>2325953.7233296586</v>
      </c>
      <c r="E106" s="22">
        <f>'Schedule G IslIntCos'!H493-'Schedule F IslIntCos'!H493</f>
        <v>2848709.649111785</v>
      </c>
      <c r="F106" s="22">
        <f>'Schedule G IslIntCos'!I493-'Schedule F IslIntCos'!I493</f>
        <v>-4023.5264376519481</v>
      </c>
      <c r="G106" s="22">
        <f>'Schedule G IslIntCos'!J493-'Schedule F IslIntCos'!J493</f>
        <v>-8543.4253016605508</v>
      </c>
      <c r="H106" s="22">
        <f>'Schedule G IslIntCos'!K493-'Schedule F IslIntCos'!K493</f>
        <v>-6929.1875622761436</v>
      </c>
      <c r="I106" s="22">
        <f>'Schedule G IslIntCos'!L493-'Schedule F IslIntCos'!L493</f>
        <v>-9410.6836682092398</v>
      </c>
      <c r="J106" s="22">
        <f>'Schedule G IslIntCos'!M493-'Schedule F IslIntCos'!M493</f>
        <v>-2175.8993832430569</v>
      </c>
      <c r="K106" s="22">
        <f>'Schedule G IslIntCos'!N493-'Schedule F IslIntCos'!N493</f>
        <v>-924.45552215335192</v>
      </c>
      <c r="L106" s="22">
        <f>'Schedule G IslIntCos'!O493-'Schedule F IslIntCos'!O493</f>
        <v>-1329.2600491795747</v>
      </c>
      <c r="M106" s="22">
        <f>'Schedule G IslIntCos'!P493-'Schedule F IslIntCos'!P493</f>
        <v>-1385.9371628725785</v>
      </c>
      <c r="N106" s="22">
        <f>'Schedule G IslIntCos'!Q493-'Schedule F IslIntCos'!Q493</f>
        <v>-1283.7265116054623</v>
      </c>
      <c r="O106" s="22">
        <f>'Schedule G IslIntCos'!R493-'Schedule F IslIntCos'!R493</f>
        <v>-1152.9516457531718</v>
      </c>
      <c r="P106" s="22">
        <f>'Schedule G IslIntCos'!S493-'Schedule F IslIntCos'!S493</f>
        <v>-3899.3819163216976</v>
      </c>
      <c r="Q106" s="22">
        <f>'Schedule G IslIntCos'!T493-'Schedule F IslIntCos'!T493</f>
        <v>0</v>
      </c>
      <c r="R106" s="22">
        <f>'Schedule G IslIntCos'!U493-'Schedule F IslIntCos'!U493</f>
        <v>-2688.5397614398971</v>
      </c>
      <c r="S106" s="22">
        <f>'Schedule G IslIntCos'!V493-'Schedule F IslIntCos'!V493</f>
        <v>0</v>
      </c>
    </row>
    <row r="107" spans="1:19" ht="16.5" x14ac:dyDescent="0.3">
      <c r="A107" s="1">
        <v>73</v>
      </c>
      <c r="B107" s="17" t="s">
        <v>240</v>
      </c>
      <c r="C107" s="22">
        <f>'Schedule G IslIntCos'!F494-'Schedule F IslIntCos'!F494</f>
        <v>0</v>
      </c>
      <c r="D107" s="22">
        <f>'Schedule G IslIntCos'!G494-'Schedule F IslIntCos'!G494</f>
        <v>0</v>
      </c>
      <c r="E107" s="22">
        <f>'Schedule G IslIntCos'!H494-'Schedule F IslIntCos'!H494</f>
        <v>0</v>
      </c>
      <c r="F107" s="22">
        <f>'Schedule G IslIntCos'!I494-'Schedule F IslIntCos'!I494</f>
        <v>0</v>
      </c>
      <c r="G107" s="22">
        <f>'Schedule G IslIntCos'!J494-'Schedule F IslIntCos'!J494</f>
        <v>0</v>
      </c>
      <c r="H107" s="22">
        <f>'Schedule G IslIntCos'!K494-'Schedule F IslIntCos'!K494</f>
        <v>0</v>
      </c>
      <c r="I107" s="22">
        <f>'Schedule G IslIntCos'!L494-'Schedule F IslIntCos'!L494</f>
        <v>0</v>
      </c>
      <c r="J107" s="22">
        <f>'Schedule G IslIntCos'!M494-'Schedule F IslIntCos'!M494</f>
        <v>0</v>
      </c>
      <c r="K107" s="22">
        <f>'Schedule G IslIntCos'!N494-'Schedule F IslIntCos'!N494</f>
        <v>0</v>
      </c>
      <c r="L107" s="22">
        <f>'Schedule G IslIntCos'!O494-'Schedule F IslIntCos'!O494</f>
        <v>0</v>
      </c>
      <c r="M107" s="22">
        <f>'Schedule G IslIntCos'!P494-'Schedule F IslIntCos'!P494</f>
        <v>0</v>
      </c>
      <c r="N107" s="22">
        <f>'Schedule G IslIntCos'!Q494-'Schedule F IslIntCos'!Q494</f>
        <v>0</v>
      </c>
      <c r="O107" s="22">
        <f>'Schedule G IslIntCos'!R494-'Schedule F IslIntCos'!R494</f>
        <v>0</v>
      </c>
      <c r="P107" s="22">
        <f>'Schedule G IslIntCos'!S494-'Schedule F IslIntCos'!S494</f>
        <v>0</v>
      </c>
      <c r="Q107" s="22">
        <f>'Schedule G IslIntCos'!T494-'Schedule F IslIntCos'!T494</f>
        <v>0</v>
      </c>
      <c r="R107" s="22">
        <f>'Schedule G IslIntCos'!U494-'Schedule F IslIntCos'!U494</f>
        <v>0</v>
      </c>
      <c r="S107" s="22">
        <f>'Schedule G IslIntCos'!V494-'Schedule F IslIntCos'!V494</f>
        <v>0</v>
      </c>
    </row>
    <row r="108" spans="1:19" ht="16.5" x14ac:dyDescent="0.3">
      <c r="A108" s="1">
        <v>74</v>
      </c>
      <c r="B108" s="17" t="s">
        <v>242</v>
      </c>
      <c r="C108" s="22">
        <f>'Schedule G IslIntCos'!F495-'Schedule F IslIntCos'!F495</f>
        <v>3628133.7288111113</v>
      </c>
      <c r="D108" s="22">
        <f>'Schedule G IslIntCos'!G495-'Schedule F IslIntCos'!G495</f>
        <v>1536176.2566240667</v>
      </c>
      <c r="E108" s="22">
        <f>'Schedule G IslIntCos'!H495-'Schedule F IslIntCos'!H495</f>
        <v>2119054.0548887039</v>
      </c>
      <c r="F108" s="22">
        <f>'Schedule G IslIntCos'!I495-'Schedule F IslIntCos'!I495</f>
        <v>-3436.0032719545416</v>
      </c>
      <c r="G108" s="22">
        <f>'Schedule G IslIntCos'!J495-'Schedule F IslIntCos'!J495</f>
        <v>-7295.8977019513259</v>
      </c>
      <c r="H108" s="22">
        <f>'Schedule G IslIntCos'!K495-'Schedule F IslIntCos'!K495</f>
        <v>-5917.3741007805802</v>
      </c>
      <c r="I108" s="22">
        <f>'Schedule G IslIntCos'!L495-'Schedule F IslIntCos'!L495</f>
        <v>-8036.517312948592</v>
      </c>
      <c r="J108" s="22">
        <f>'Schedule G IslIntCos'!M495-'Schedule F IslIntCos'!M495</f>
        <v>-77.142633534251217</v>
      </c>
      <c r="K108" s="22">
        <f>'Schedule G IslIntCos'!N495-'Schedule F IslIntCos'!N495</f>
        <v>-732.0507624875172</v>
      </c>
      <c r="L108" s="22">
        <f>'Schedule G IslIntCos'!O495-'Schedule F IslIntCos'!O495</f>
        <v>-47.126545296752738</v>
      </c>
      <c r="M108" s="22">
        <f>'Schedule G IslIntCos'!P495-'Schedule F IslIntCos'!P495</f>
        <v>-1097.4853116539016</v>
      </c>
      <c r="N108" s="22">
        <f>'Schedule G IslIntCos'!Q495-'Schedule F IslIntCos'!Q495</f>
        <v>-45.512234897270901</v>
      </c>
      <c r="O108" s="22">
        <f>'Schedule G IslIntCos'!R495-'Schedule F IslIntCos'!R495</f>
        <v>-72.14724297291832</v>
      </c>
      <c r="P108" s="22">
        <f>'Schedule G IslIntCos'!S495-'Schedule F IslIntCos'!S495</f>
        <v>-244.0081989538121</v>
      </c>
      <c r="Q108" s="22">
        <f>'Schedule G IslIntCos'!T495-'Schedule F IslIntCos'!T495</f>
        <v>0</v>
      </c>
      <c r="R108" s="22">
        <f>'Schedule G IslIntCos'!U495-'Schedule F IslIntCos'!U495</f>
        <v>-95.317384230284006</v>
      </c>
      <c r="S108" s="22">
        <f>'Schedule G IslIntCos'!V495-'Schedule F IslIntCos'!V495</f>
        <v>0</v>
      </c>
    </row>
    <row r="109" spans="1:19" ht="16.5" x14ac:dyDescent="0.3">
      <c r="A109" s="1">
        <v>75</v>
      </c>
      <c r="B109" s="17" t="s">
        <v>244</v>
      </c>
      <c r="C109" s="22">
        <f>'Schedule G IslIntCos'!F496-'Schedule F IslIntCos'!F496</f>
        <v>2403460.060780908</v>
      </c>
      <c r="D109" s="22">
        <f>'Schedule G IslIntCos'!G496-'Schedule F IslIntCos'!G496</f>
        <v>895409.93576783896</v>
      </c>
      <c r="E109" s="22">
        <f>'Schedule G IslIntCos'!H496-'Schedule F IslIntCos'!H496</f>
        <v>1522459.5417293753</v>
      </c>
      <c r="F109" s="22">
        <f>'Schedule G IslIntCos'!I496-'Schedule F IslIntCos'!I496</f>
        <v>-1934.3544376281789</v>
      </c>
      <c r="G109" s="22">
        <f>'Schedule G IslIntCos'!J496-'Schedule F IslIntCos'!J496</f>
        <v>-4107.3453600709327</v>
      </c>
      <c r="H109" s="22">
        <f>'Schedule G IslIntCos'!K496-'Schedule F IslIntCos'!K496</f>
        <v>-3331.2828728593304</v>
      </c>
      <c r="I109" s="22">
        <f>'Schedule G IslIntCos'!L496-'Schedule F IslIntCos'!L496</f>
        <v>-4524.2893259921111</v>
      </c>
      <c r="J109" s="22">
        <f>'Schedule G IslIntCos'!M496-'Schedule F IslIntCos'!M496</f>
        <v>-7.1276552774340871</v>
      </c>
      <c r="K109" s="22">
        <f>'Schedule G IslIntCos'!N496-'Schedule F IslIntCos'!N496</f>
        <v>-183.4349274114029</v>
      </c>
      <c r="L109" s="22">
        <f>'Schedule G IslIntCos'!O496-'Schedule F IslIntCos'!O496</f>
        <v>-4.35429481601102</v>
      </c>
      <c r="M109" s="22">
        <f>'Schedule G IslIntCos'!P496-'Schedule F IslIntCos'!P496</f>
        <v>-275.00434231395775</v>
      </c>
      <c r="N109" s="22">
        <f>'Schedule G IslIntCos'!Q496-'Schedule F IslIntCos'!Q496</f>
        <v>-4.2051393165015725</v>
      </c>
      <c r="O109" s="22">
        <f>'Schedule G IslIntCos'!R496-'Schedule F IslIntCos'!R496</f>
        <v>-6.6661021742265802</v>
      </c>
      <c r="P109" s="22">
        <f>'Schedule G IslIntCos'!S496-'Schedule F IslIntCos'!S496</f>
        <v>-22.54533255256456</v>
      </c>
      <c r="Q109" s="22">
        <f>'Schedule G IslIntCos'!T496-'Schedule F IslIntCos'!T496</f>
        <v>0</v>
      </c>
      <c r="R109" s="22">
        <f>'Schedule G IslIntCos'!U496-'Schedule F IslIntCos'!U496</f>
        <v>-8.8069258931711829</v>
      </c>
      <c r="S109" s="22">
        <f>'Schedule G IslIntCos'!V496-'Schedule F IslIntCos'!V496</f>
        <v>0</v>
      </c>
    </row>
    <row r="110" spans="1:19" ht="16.5" x14ac:dyDescent="0.3">
      <c r="A110" s="1">
        <v>76</v>
      </c>
      <c r="B110" s="17" t="s">
        <v>246</v>
      </c>
      <c r="C110" s="34">
        <f>'Schedule G IslIntCos'!F497-'Schedule F IslIntCos'!F497</f>
        <v>175977.47727424162</v>
      </c>
      <c r="D110" s="22">
        <f>'Schedule G IslIntCos'!G497-'Schedule F IslIntCos'!G497</f>
        <v>96967.656284802724</v>
      </c>
      <c r="E110" s="22">
        <f>'Schedule G IslIntCos'!H497-'Schedule F IslIntCos'!H497</f>
        <v>81790.172232316982</v>
      </c>
      <c r="F110" s="22">
        <f>'Schedule G IslIntCos'!I497-'Schedule F IslIntCos'!I497</f>
        <v>-64.551356984724407</v>
      </c>
      <c r="G110" s="22">
        <f>'Schedule G IslIntCos'!J497-'Schedule F IslIntCos'!J497</f>
        <v>-137.06625396046002</v>
      </c>
      <c r="H110" s="22">
        <f>'Schedule G IslIntCos'!K497-'Schedule F IslIntCos'!K497</f>
        <v>-111.16826666302222</v>
      </c>
      <c r="I110" s="22">
        <f>'Schedule G IslIntCos'!L497-'Schedule F IslIntCos'!L497</f>
        <v>-150.98009429046942</v>
      </c>
      <c r="J110" s="22">
        <f>'Schedule G IslIntCos'!M497-'Schedule F IslIntCos'!M497</f>
        <v>-293.08320655809075</v>
      </c>
      <c r="K110" s="22">
        <f>'Schedule G IslIntCos'!N497-'Schedule F IslIntCos'!N497</f>
        <v>-14.831481624822118</v>
      </c>
      <c r="L110" s="22">
        <f>'Schedule G IslIntCos'!O497-'Schedule F IslIntCos'!O497</f>
        <v>-179.04495059071633</v>
      </c>
      <c r="M110" s="22">
        <f>'Schedule G IslIntCos'!P497-'Schedule F IslIntCos'!P497</f>
        <v>-22.235252071859577</v>
      </c>
      <c r="N110" s="22">
        <f>'Schedule G IslIntCos'!Q497-'Schedule F IslIntCos'!Q497</f>
        <v>-172.9118015577551</v>
      </c>
      <c r="O110" s="22">
        <f>'Schedule G IslIntCos'!R497-'Schedule F IslIntCos'!R497</f>
        <v>0</v>
      </c>
      <c r="P110" s="22">
        <f>'Schedule G IslIntCos'!S497-'Schedule F IslIntCos'!S497</f>
        <v>0</v>
      </c>
      <c r="Q110" s="22">
        <f>'Schedule G IslIntCos'!T497-'Schedule F IslIntCos'!T497</f>
        <v>-1272.3451728178188</v>
      </c>
      <c r="R110" s="22">
        <f>'Schedule G IslIntCos'!U497-'Schedule F IslIntCos'!U497</f>
        <v>-362.13340575856273</v>
      </c>
      <c r="S110" s="22">
        <f>'Schedule G IslIntCos'!V497-'Schedule F IslIntCos'!V497</f>
        <v>0</v>
      </c>
    </row>
    <row r="111" spans="1:19" ht="16.5" x14ac:dyDescent="0.3">
      <c r="A111" s="1">
        <v>77</v>
      </c>
      <c r="B111" s="20" t="s">
        <v>247</v>
      </c>
      <c r="C111" s="30">
        <f>'Schedule G IslIntCos'!F498-'Schedule F IslIntCos'!F498</f>
        <v>32107596.128737539</v>
      </c>
      <c r="D111" s="30">
        <f>'Schedule G IslIntCos'!G498-'Schedule F IslIntCos'!G498</f>
        <v>15776210.463817351</v>
      </c>
      <c r="E111" s="30">
        <f>'Schedule G IslIntCos'!H498-'Schedule F IslIntCos'!H498</f>
        <v>16561631.07107475</v>
      </c>
      <c r="F111" s="30">
        <f>'Schedule G IslIntCos'!I498-'Schedule F IslIntCos'!I498</f>
        <v>-22759.431090250611</v>
      </c>
      <c r="G111" s="30">
        <f>'Schedule G IslIntCos'!J498-'Schedule F IslIntCos'!J498</f>
        <v>-48326.636457076296</v>
      </c>
      <c r="H111" s="30">
        <f>'Schedule G IslIntCos'!K498-'Schedule F IslIntCos'!K498</f>
        <v>-39195.558741522953</v>
      </c>
      <c r="I111" s="30">
        <f>'Schedule G IslIntCos'!L498-'Schedule F IslIntCos'!L498</f>
        <v>-53232.359666995704</v>
      </c>
      <c r="J111" s="30">
        <f>'Schedule G IslIntCos'!M498-'Schedule F IslIntCos'!M498</f>
        <v>-12497.580814139917</v>
      </c>
      <c r="K111" s="30">
        <f>'Schedule G IslIntCos'!N498-'Schedule F IslIntCos'!N498</f>
        <v>-4910.8427879548399</v>
      </c>
      <c r="L111" s="30">
        <f>'Schedule G IslIntCos'!O498-'Schedule F IslIntCos'!O498</f>
        <v>-7634.7900162867736</v>
      </c>
      <c r="M111" s="30">
        <f>'Schedule G IslIntCos'!P498-'Schedule F IslIntCos'!P498</f>
        <v>-7362.3006815921981</v>
      </c>
      <c r="N111" s="30">
        <f>'Schedule G IslIntCos'!Q498-'Schedule F IslIntCos'!Q498</f>
        <v>-7373.2618087017909</v>
      </c>
      <c r="O111" s="30">
        <f>'Schedule G IslIntCos'!R498-'Schedule F IslIntCos'!R498</f>
        <v>-2336.3978188821347</v>
      </c>
      <c r="P111" s="30">
        <f>'Schedule G IslIntCos'!S498-'Schedule F IslIntCos'!S498</f>
        <v>-7901.8989546010271</v>
      </c>
      <c r="Q111" s="30">
        <f>'Schedule G IslIntCos'!T498-'Schedule F IslIntCos'!T498</f>
        <v>-1272.3451728178188</v>
      </c>
      <c r="R111" s="30">
        <f>'Schedule G IslIntCos'!U498-'Schedule F IslIntCos'!U498</f>
        <v>-15442.002143749502</v>
      </c>
      <c r="S111" s="30">
        <f>'Schedule G IslIntCos'!V498-'Schedule F IslIntCos'!V498</f>
        <v>0</v>
      </c>
    </row>
    <row r="112" spans="1:19" ht="17.25" thickBot="1" x14ac:dyDescent="0.35">
      <c r="A112" s="1">
        <v>78</v>
      </c>
      <c r="B112" s="20" t="s">
        <v>248</v>
      </c>
      <c r="C112" s="55">
        <f>'Schedule G IslIntCos'!F499-'Schedule F IslIntCos'!F499</f>
        <v>501963983.38407254</v>
      </c>
      <c r="D112" s="55">
        <f>'Schedule G IslIntCos'!G499-'Schedule F IslIntCos'!G499</f>
        <v>249654096.38390094</v>
      </c>
      <c r="E112" s="55">
        <f>'Schedule G IslIntCos'!H499-'Schedule F IslIntCos'!H499</f>
        <v>252586375.83618274</v>
      </c>
      <c r="F112" s="55">
        <f>'Schedule G IslIntCos'!I499-'Schedule F IslIntCos'!I499</f>
        <v>-67004.600518941879</v>
      </c>
      <c r="G112" s="55">
        <f>'Schedule G IslIntCos'!J499-'Schedule F IslIntCos'!J499</f>
        <v>-48326.636457076296</v>
      </c>
      <c r="H112" s="55">
        <f>'Schedule G IslIntCos'!K499-'Schedule F IslIntCos'!K499</f>
        <v>-39195.558741522953</v>
      </c>
      <c r="I112" s="55">
        <f>'Schedule G IslIntCos'!L499-'Schedule F IslIntCos'!L499</f>
        <v>-53232.359666995704</v>
      </c>
      <c r="J112" s="55">
        <f>'Schedule G IslIntCos'!M499-'Schedule F IslIntCos'!M499</f>
        <v>-12497.580814139917</v>
      </c>
      <c r="K112" s="55">
        <f>'Schedule G IslIntCos'!N499-'Schedule F IslIntCos'!N499</f>
        <v>-4910.8427879548399</v>
      </c>
      <c r="L112" s="55">
        <f>'Schedule G IslIntCos'!O499-'Schedule F IslIntCos'!O499</f>
        <v>-7634.7900162867736</v>
      </c>
      <c r="M112" s="55">
        <f>'Schedule G IslIntCos'!P499-'Schedule F IslIntCos'!P499</f>
        <v>-7362.3006815921981</v>
      </c>
      <c r="N112" s="55">
        <f>'Schedule G IslIntCos'!Q499-'Schedule F IslIntCos'!Q499</f>
        <v>-7373.2618087017909</v>
      </c>
      <c r="O112" s="55">
        <f>'Schedule G IslIntCos'!R499-'Schedule F IslIntCos'!R499</f>
        <v>-2336.3978188821347</v>
      </c>
      <c r="P112" s="55">
        <f>'Schedule G IslIntCos'!S499-'Schedule F IslIntCos'!S499</f>
        <v>-7901.8989546010271</v>
      </c>
      <c r="Q112" s="55">
        <f>'Schedule G IslIntCos'!T499-'Schedule F IslIntCos'!T499</f>
        <v>-1272.3451728178188</v>
      </c>
      <c r="R112" s="55">
        <f>'Schedule G IslIntCos'!U499-'Schedule F IslIntCos'!U499</f>
        <v>-15442.002143749502</v>
      </c>
      <c r="S112" s="55">
        <f>'Schedule G IslIntCos'!V499-'Schedule F IslIntCos'!V499</f>
        <v>-1998.2604277157225</v>
      </c>
    </row>
    <row r="113" spans="1:19" ht="17.25" thickTop="1" x14ac:dyDescent="0.3">
      <c r="A113" s="1"/>
      <c r="B113" s="20"/>
      <c r="C113" s="64"/>
      <c r="D113" s="64">
        <f>'Schedule G IslIntCos'!G500-'Schedule F IslIntCos'!G500</f>
        <v>0</v>
      </c>
      <c r="E113" s="64">
        <f>'Schedule G IslIntCos'!H500-'Schedule F IslIntCos'!H500</f>
        <v>0</v>
      </c>
      <c r="F113" s="64">
        <f>'Schedule G IslIntCos'!I500-'Schedule F IslIntCos'!I500</f>
        <v>0</v>
      </c>
      <c r="G113" s="64">
        <f>'Schedule G IslIntCos'!J500-'Schedule F IslIntCos'!J500</f>
        <v>0</v>
      </c>
      <c r="H113" s="64">
        <f>'Schedule G IslIntCos'!K500-'Schedule F IslIntCos'!K500</f>
        <v>0</v>
      </c>
      <c r="I113" s="64">
        <f>'Schedule G IslIntCos'!L500-'Schedule F IslIntCos'!L500</f>
        <v>0</v>
      </c>
      <c r="J113" s="64">
        <f>'Schedule G IslIntCos'!M500-'Schedule F IslIntCos'!M500</f>
        <v>0</v>
      </c>
      <c r="K113" s="64">
        <f>'Schedule G IslIntCos'!N500-'Schedule F IslIntCos'!N500</f>
        <v>0</v>
      </c>
      <c r="L113" s="64">
        <f>'Schedule G IslIntCos'!O500-'Schedule F IslIntCos'!O500</f>
        <v>0</v>
      </c>
      <c r="M113" s="64">
        <f>'Schedule G IslIntCos'!P500-'Schedule F IslIntCos'!P500</f>
        <v>0</v>
      </c>
      <c r="N113" s="64">
        <f>'Schedule G IslIntCos'!Q500-'Schedule F IslIntCos'!Q500</f>
        <v>0</v>
      </c>
      <c r="O113" s="64">
        <f>'Schedule G IslIntCos'!R500-'Schedule F IslIntCos'!R500</f>
        <v>0</v>
      </c>
      <c r="P113" s="64">
        <f>'Schedule G IslIntCos'!S500-'Schedule F IslIntCos'!S500</f>
        <v>0</v>
      </c>
      <c r="Q113" s="64">
        <f>'Schedule G IslIntCos'!T500-'Schedule F IslIntCos'!T500</f>
        <v>0</v>
      </c>
      <c r="R113" s="64">
        <f>'Schedule G IslIntCos'!U500-'Schedule F IslIntCos'!U500</f>
        <v>0</v>
      </c>
      <c r="S113" s="64">
        <f>'Schedule G IslIntCos'!V500-'Schedule F IslIntCos'!V500</f>
        <v>0</v>
      </c>
    </row>
    <row r="114" spans="1:19" ht="16.5" x14ac:dyDescent="0.3">
      <c r="A114" s="1"/>
      <c r="B114" s="20" t="s">
        <v>265</v>
      </c>
      <c r="C114" s="64"/>
      <c r="D114" s="64">
        <f>'Schedule G IslIntCos'!G501-'Schedule F IslIntCos'!G501</f>
        <v>0</v>
      </c>
      <c r="E114" s="64">
        <f>'Schedule G IslIntCos'!H501-'Schedule F IslIntCos'!H501</f>
        <v>0</v>
      </c>
      <c r="F114" s="64">
        <f>'Schedule G IslIntCos'!I501-'Schedule F IslIntCos'!I501</f>
        <v>0</v>
      </c>
      <c r="G114" s="64">
        <f>'Schedule G IslIntCos'!J501-'Schedule F IslIntCos'!J501</f>
        <v>0</v>
      </c>
      <c r="H114" s="64">
        <f>'Schedule G IslIntCos'!K501-'Schedule F IslIntCos'!K501</f>
        <v>0</v>
      </c>
      <c r="I114" s="64">
        <f>'Schedule G IslIntCos'!L501-'Schedule F IslIntCos'!L501</f>
        <v>0</v>
      </c>
      <c r="J114" s="64">
        <f>'Schedule G IslIntCos'!M501-'Schedule F IslIntCos'!M501</f>
        <v>0</v>
      </c>
      <c r="K114" s="64">
        <f>'Schedule G IslIntCos'!N501-'Schedule F IslIntCos'!N501</f>
        <v>0</v>
      </c>
      <c r="L114" s="64">
        <f>'Schedule G IslIntCos'!O501-'Schedule F IslIntCos'!O501</f>
        <v>0</v>
      </c>
      <c r="M114" s="64">
        <f>'Schedule G IslIntCos'!P501-'Schedule F IslIntCos'!P501</f>
        <v>0</v>
      </c>
      <c r="N114" s="64">
        <f>'Schedule G IslIntCos'!Q501-'Schedule F IslIntCos'!Q501</f>
        <v>0</v>
      </c>
      <c r="O114" s="64">
        <f>'Schedule G IslIntCos'!R501-'Schedule F IslIntCos'!R501</f>
        <v>0</v>
      </c>
      <c r="P114" s="64">
        <f>'Schedule G IslIntCos'!S501-'Schedule F IslIntCos'!S501</f>
        <v>0</v>
      </c>
      <c r="Q114" s="64">
        <f>'Schedule G IslIntCos'!T501-'Schedule F IslIntCos'!T501</f>
        <v>0</v>
      </c>
      <c r="R114" s="64">
        <f>'Schedule G IslIntCos'!U501-'Schedule F IslIntCos'!U501</f>
        <v>0</v>
      </c>
      <c r="S114" s="64">
        <f>'Schedule G IslIntCos'!V501-'Schedule F IslIntCos'!V501</f>
        <v>0</v>
      </c>
    </row>
    <row r="115" spans="1:19" ht="16.5" x14ac:dyDescent="0.3">
      <c r="A115" s="1"/>
      <c r="B115" s="6" t="s">
        <v>224</v>
      </c>
      <c r="C115" s="64">
        <f>'Schedule G IslIntCos'!F502-'Schedule F IslIntCos'!F502</f>
        <v>435587126.90141916</v>
      </c>
      <c r="D115" s="64">
        <f>'Schedule G IslIntCos'!G502-'Schedule F IslIntCos'!G502</f>
        <v>221438250.6451931</v>
      </c>
      <c r="E115" s="64">
        <f>'Schedule G IslIntCos'!H502-'Schedule F IslIntCos'!H502</f>
        <v>214148876.25622606</v>
      </c>
      <c r="F115" s="64">
        <f>'Schedule G IslIntCos'!I502-'Schedule F IslIntCos'!I502</f>
        <v>0</v>
      </c>
      <c r="G115" s="109">
        <f>'Schedule G IslIntCos'!J502-'Schedule F IslIntCos'!J502</f>
        <v>0</v>
      </c>
      <c r="H115" s="109">
        <f>'Schedule G IslIntCos'!K502-'Schedule F IslIntCos'!K502</f>
        <v>0</v>
      </c>
      <c r="I115" s="109">
        <f>'Schedule G IslIntCos'!L502-'Schedule F IslIntCos'!L502</f>
        <v>0</v>
      </c>
      <c r="J115" s="64">
        <f>'Schedule G IslIntCos'!M502-'Schedule F IslIntCos'!M502</f>
        <v>0</v>
      </c>
      <c r="K115" s="64">
        <f>'Schedule G IslIntCos'!N502-'Schedule F IslIntCos'!N502</f>
        <v>0</v>
      </c>
      <c r="L115" s="64">
        <f>'Schedule G IslIntCos'!O502-'Schedule F IslIntCos'!O502</f>
        <v>0</v>
      </c>
      <c r="M115" s="64">
        <f>'Schedule G IslIntCos'!P502-'Schedule F IslIntCos'!P502</f>
        <v>0</v>
      </c>
      <c r="N115" s="64">
        <f>'Schedule G IslIntCos'!Q502-'Schedule F IslIntCos'!Q502</f>
        <v>0</v>
      </c>
      <c r="O115" s="64">
        <f>'Schedule G IslIntCos'!R502-'Schedule F IslIntCos'!R502</f>
        <v>0</v>
      </c>
      <c r="P115" s="64">
        <f>'Schedule G IslIntCos'!S502-'Schedule F IslIntCos'!S502</f>
        <v>0</v>
      </c>
      <c r="Q115" s="64">
        <f>'Schedule G IslIntCos'!T502-'Schedule F IslIntCos'!T502</f>
        <v>0</v>
      </c>
      <c r="R115" s="64">
        <f>'Schedule G IslIntCos'!U502-'Schedule F IslIntCos'!U502</f>
        <v>0</v>
      </c>
      <c r="S115" s="64">
        <f>'Schedule G IslIntCos'!V502-'Schedule F IslIntCos'!V502</f>
        <v>0</v>
      </c>
    </row>
    <row r="116" spans="1:19" ht="16.5" x14ac:dyDescent="0.3">
      <c r="A116" s="1"/>
      <c r="B116" s="17" t="s">
        <v>227</v>
      </c>
      <c r="C116" s="64">
        <f>'Schedule G IslIntCos'!F503-'Schedule F IslIntCos'!F503</f>
        <v>34269260.353916034</v>
      </c>
      <c r="D116" s="64">
        <f>'Schedule G IslIntCos'!G503-'Schedule F IslIntCos'!G503</f>
        <v>12430206.004208017</v>
      </c>
      <c r="E116" s="64">
        <f>'Schedule G IslIntCos'!H503-'Schedule F IslIntCos'!H503</f>
        <v>21839054.349708017</v>
      </c>
      <c r="F116" s="64">
        <f>'Schedule G IslIntCos'!I503-'Schedule F IslIntCos'!I503</f>
        <v>0</v>
      </c>
      <c r="G116" s="109">
        <f>'Schedule G IslIntCos'!J503-'Schedule F IslIntCos'!J503</f>
        <v>0</v>
      </c>
      <c r="H116" s="109">
        <f>'Schedule G IslIntCos'!K503-'Schedule F IslIntCos'!K503</f>
        <v>0</v>
      </c>
      <c r="I116" s="109">
        <f>'Schedule G IslIntCos'!L503-'Schedule F IslIntCos'!L503</f>
        <v>0</v>
      </c>
      <c r="J116" s="64">
        <f>'Schedule G IslIntCos'!M503-'Schedule F IslIntCos'!M503</f>
        <v>0</v>
      </c>
      <c r="K116" s="64">
        <f>'Schedule G IslIntCos'!N503-'Schedule F IslIntCos'!N503</f>
        <v>0</v>
      </c>
      <c r="L116" s="64">
        <f>'Schedule G IslIntCos'!O503-'Schedule F IslIntCos'!O503</f>
        <v>0</v>
      </c>
      <c r="M116" s="64">
        <f>'Schedule G IslIntCos'!P503-'Schedule F IslIntCos'!P503</f>
        <v>0</v>
      </c>
      <c r="N116" s="64">
        <f>'Schedule G IslIntCos'!Q503-'Schedule F IslIntCos'!Q503</f>
        <v>0</v>
      </c>
      <c r="O116" s="64">
        <f>'Schedule G IslIntCos'!R503-'Schedule F IslIntCos'!R503</f>
        <v>0</v>
      </c>
      <c r="P116" s="64">
        <f>'Schedule G IslIntCos'!S503-'Schedule F IslIntCos'!S503</f>
        <v>0</v>
      </c>
      <c r="Q116" s="64">
        <f>'Schedule G IslIntCos'!T503-'Schedule F IslIntCos'!T503</f>
        <v>0</v>
      </c>
      <c r="R116" s="64">
        <f>'Schedule G IslIntCos'!U503-'Schedule F IslIntCos'!U503</f>
        <v>0</v>
      </c>
      <c r="S116" s="64">
        <f>'Schedule G IslIntCos'!V503-'Schedule F IslIntCos'!V503</f>
        <v>0</v>
      </c>
    </row>
    <row r="117" spans="1:19" ht="16.5" x14ac:dyDescent="0.3">
      <c r="A117" s="1"/>
      <c r="B117" s="17" t="s">
        <v>229</v>
      </c>
      <c r="C117" s="64">
        <f>'Schedule G IslIntCos'!F504-'Schedule F IslIntCos'!F504</f>
        <v>0</v>
      </c>
      <c r="D117" s="64">
        <f>'Schedule G IslIntCos'!G504-'Schedule F IslIntCos'!G504</f>
        <v>0</v>
      </c>
      <c r="E117" s="64">
        <f>'Schedule G IslIntCos'!H504-'Schedule F IslIntCos'!H504</f>
        <v>0</v>
      </c>
      <c r="F117" s="64">
        <f>'Schedule G IslIntCos'!I504-'Schedule F IslIntCos'!I504</f>
        <v>0</v>
      </c>
      <c r="G117" s="109">
        <f>'Schedule G IslIntCos'!J504-'Schedule F IslIntCos'!J504</f>
        <v>0</v>
      </c>
      <c r="H117" s="109">
        <f>'Schedule G IslIntCos'!K504-'Schedule F IslIntCos'!K504</f>
        <v>0</v>
      </c>
      <c r="I117" s="109">
        <f>'Schedule G IslIntCos'!L504-'Schedule F IslIntCos'!L504</f>
        <v>0</v>
      </c>
      <c r="J117" s="64">
        <f>'Schedule G IslIntCos'!M504-'Schedule F IslIntCos'!M504</f>
        <v>0</v>
      </c>
      <c r="K117" s="64">
        <f>'Schedule G IslIntCos'!N504-'Schedule F IslIntCos'!N504</f>
        <v>0</v>
      </c>
      <c r="L117" s="64">
        <f>'Schedule G IslIntCos'!O504-'Schedule F IslIntCos'!O504</f>
        <v>0</v>
      </c>
      <c r="M117" s="64">
        <f>'Schedule G IslIntCos'!P504-'Schedule F IslIntCos'!P504</f>
        <v>0</v>
      </c>
      <c r="N117" s="64">
        <f>'Schedule G IslIntCos'!Q504-'Schedule F IslIntCos'!Q504</f>
        <v>0</v>
      </c>
      <c r="O117" s="64">
        <f>'Schedule G IslIntCos'!R504-'Schedule F IslIntCos'!R504</f>
        <v>0</v>
      </c>
      <c r="P117" s="64">
        <f>'Schedule G IslIntCos'!S504-'Schedule F IslIntCos'!S504</f>
        <v>0</v>
      </c>
      <c r="Q117" s="64">
        <f>'Schedule G IslIntCos'!T504-'Schedule F IslIntCos'!T504</f>
        <v>0</v>
      </c>
      <c r="R117" s="64">
        <f>'Schedule G IslIntCos'!U504-'Schedule F IslIntCos'!U504</f>
        <v>0</v>
      </c>
      <c r="S117" s="64">
        <f>'Schedule G IslIntCos'!V504-'Schedule F IslIntCos'!V504</f>
        <v>0</v>
      </c>
    </row>
    <row r="118" spans="1:19" ht="16.5" x14ac:dyDescent="0.3">
      <c r="A118" s="1"/>
      <c r="B118" s="6" t="s">
        <v>266</v>
      </c>
      <c r="C118" s="64">
        <f>'Schedule G IslIntCos'!F505-'Schedule F IslIntCos'!F505</f>
        <v>32107596.128737524</v>
      </c>
      <c r="D118" s="64">
        <f>'Schedule G IslIntCos'!G505-'Schedule F IslIntCos'!G505</f>
        <v>15671473.400439272</v>
      </c>
      <c r="E118" s="64">
        <f>'Schedule G IslIntCos'!H505-'Schedule F IslIntCos'!H505</f>
        <v>16436122.728298251</v>
      </c>
      <c r="F118" s="64">
        <f>'Schedule G IslIntCos'!I505-'Schedule F IslIntCos'!I505</f>
        <v>0</v>
      </c>
      <c r="G118" s="109">
        <f>'Schedule G IslIntCos'!J505-'Schedule F IslIntCos'!J505</f>
        <v>0</v>
      </c>
      <c r="H118" s="109">
        <f>'Schedule G IslIntCos'!K505-'Schedule F IslIntCos'!K505</f>
        <v>0</v>
      </c>
      <c r="I118" s="109">
        <f>'Schedule G IslIntCos'!L505-'Schedule F IslIntCos'!L505</f>
        <v>0</v>
      </c>
      <c r="J118" s="64">
        <f>'Schedule G IslIntCos'!M505-'Schedule F IslIntCos'!M505</f>
        <v>0</v>
      </c>
      <c r="K118" s="64">
        <f>'Schedule G IslIntCos'!N505-'Schedule F IslIntCos'!N505</f>
        <v>0</v>
      </c>
      <c r="L118" s="64">
        <f>'Schedule G IslIntCos'!O505-'Schedule F IslIntCos'!O505</f>
        <v>0</v>
      </c>
      <c r="M118" s="64">
        <f>'Schedule G IslIntCos'!P505-'Schedule F IslIntCos'!P505</f>
        <v>0</v>
      </c>
      <c r="N118" s="64">
        <f>'Schedule G IslIntCos'!Q505-'Schedule F IslIntCos'!Q505</f>
        <v>0</v>
      </c>
      <c r="O118" s="64">
        <f>'Schedule G IslIntCos'!R505-'Schedule F IslIntCos'!R505</f>
        <v>0</v>
      </c>
      <c r="P118" s="64">
        <f>'Schedule G IslIntCos'!S505-'Schedule F IslIntCos'!S505</f>
        <v>0</v>
      </c>
      <c r="Q118" s="64">
        <f>'Schedule G IslIntCos'!T505-'Schedule F IslIntCos'!T505</f>
        <v>0</v>
      </c>
      <c r="R118" s="64">
        <f>'Schedule G IslIntCos'!U505-'Schedule F IslIntCos'!U505</f>
        <v>0</v>
      </c>
      <c r="S118" s="64">
        <f>'Schedule G IslIntCos'!V505-'Schedule F IslIntCos'!V505</f>
        <v>0</v>
      </c>
    </row>
    <row r="119" spans="1:19" ht="16.5" x14ac:dyDescent="0.3">
      <c r="A119" s="1"/>
      <c r="B119" s="17" t="s">
        <v>15</v>
      </c>
      <c r="C119" s="22">
        <f>'Schedule G IslIntCos'!F506-'Schedule F IslIntCos'!F506</f>
        <v>501963983.38407272</v>
      </c>
      <c r="D119" s="22">
        <f>'Schedule G IslIntCos'!G506-'Schedule F IslIntCos'!G506</f>
        <v>249539930.04984039</v>
      </c>
      <c r="E119" s="22">
        <f>'Schedule G IslIntCos'!H506-'Schedule F IslIntCos'!H506</f>
        <v>252424053.33423233</v>
      </c>
      <c r="F119" s="22">
        <f>'Schedule G IslIntCos'!I506-'Schedule F IslIntCos'!I506</f>
        <v>0</v>
      </c>
      <c r="G119" s="22">
        <f>'Schedule G IslIntCos'!J506-'Schedule F IslIntCos'!J506</f>
        <v>0</v>
      </c>
      <c r="H119" s="22">
        <f>'Schedule G IslIntCos'!K506-'Schedule F IslIntCos'!K506</f>
        <v>0</v>
      </c>
      <c r="I119" s="22">
        <f>'Schedule G IslIntCos'!L506-'Schedule F IslIntCos'!L506</f>
        <v>0</v>
      </c>
      <c r="J119" s="22">
        <f>'Schedule G IslIntCos'!M506-'Schedule F IslIntCos'!M506</f>
        <v>0</v>
      </c>
      <c r="K119" s="22">
        <f>'Schedule G IslIntCos'!N506-'Schedule F IslIntCos'!N506</f>
        <v>0</v>
      </c>
      <c r="L119" s="22">
        <f>'Schedule G IslIntCos'!O506-'Schedule F IslIntCos'!O506</f>
        <v>0</v>
      </c>
      <c r="M119" s="22">
        <f>'Schedule G IslIntCos'!P506-'Schedule F IslIntCos'!P506</f>
        <v>0</v>
      </c>
      <c r="N119" s="22">
        <f>'Schedule G IslIntCos'!Q506-'Schedule F IslIntCos'!Q506</f>
        <v>0</v>
      </c>
      <c r="O119" s="22">
        <f>'Schedule G IslIntCos'!R506-'Schedule F IslIntCos'!R506</f>
        <v>0</v>
      </c>
      <c r="P119" s="22">
        <f>'Schedule G IslIntCos'!S506-'Schedule F IslIntCos'!S506</f>
        <v>0</v>
      </c>
      <c r="Q119" s="22">
        <f>'Schedule G IslIntCos'!T506-'Schedule F IslIntCos'!T506</f>
        <v>0</v>
      </c>
      <c r="R119" s="22">
        <f>'Schedule G IslIntCos'!U506-'Schedule F IslIntCos'!U506</f>
        <v>0</v>
      </c>
      <c r="S119" s="22">
        <f>'Schedule G IslIntCos'!V506-'Schedule F IslIntCos'!V506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EFFFE-0BE7-41BC-9492-A96848FB99D0}">
  <dimension ref="A2:I41"/>
  <sheetViews>
    <sheetView workbookViewId="0"/>
  </sheetViews>
  <sheetFormatPr defaultRowHeight="15" x14ac:dyDescent="0.25"/>
  <cols>
    <col min="2" max="2" width="33" bestFit="1" customWidth="1"/>
    <col min="3" max="3" width="12.28515625" bestFit="1" customWidth="1"/>
    <col min="4" max="4" width="19.5703125" bestFit="1" customWidth="1"/>
    <col min="6" max="6" width="11.85546875" bestFit="1" customWidth="1"/>
    <col min="8" max="8" width="22.140625" bestFit="1" customWidth="1"/>
    <col min="9" max="9" width="13.7109375" bestFit="1" customWidth="1"/>
  </cols>
  <sheetData>
    <row r="2" spans="1:9" x14ac:dyDescent="0.25">
      <c r="A2" s="1"/>
      <c r="B2" s="106"/>
      <c r="C2" s="106"/>
      <c r="D2" s="106"/>
      <c r="E2" s="106"/>
      <c r="F2" s="106"/>
      <c r="G2" s="106"/>
      <c r="H2" s="106"/>
      <c r="I2" s="151" t="s">
        <v>324</v>
      </c>
    </row>
    <row r="3" spans="1:9" x14ac:dyDescent="0.25">
      <c r="A3" s="1"/>
      <c r="B3" s="106"/>
      <c r="C3" s="106"/>
      <c r="D3" s="106"/>
      <c r="E3" s="106"/>
      <c r="F3" s="106"/>
      <c r="G3" s="106"/>
      <c r="H3" s="106"/>
      <c r="I3" s="151" t="s">
        <v>327</v>
      </c>
    </row>
    <row r="4" spans="1:9" x14ac:dyDescent="0.25">
      <c r="A4" s="1"/>
      <c r="B4" s="106"/>
      <c r="C4" s="106"/>
      <c r="D4" s="106"/>
      <c r="E4" s="106"/>
      <c r="F4" s="106"/>
      <c r="G4" s="106"/>
      <c r="H4" s="106"/>
      <c r="I4" s="153"/>
    </row>
    <row r="5" spans="1:9" x14ac:dyDescent="0.25">
      <c r="A5" s="1"/>
      <c r="B5" s="106"/>
      <c r="C5" s="106"/>
      <c r="D5" s="106"/>
      <c r="E5" s="106"/>
      <c r="F5" s="106"/>
      <c r="G5" s="106"/>
      <c r="H5" s="106"/>
      <c r="I5" s="106"/>
    </row>
    <row r="6" spans="1:9" x14ac:dyDescent="0.25">
      <c r="A6" s="154" t="s">
        <v>5</v>
      </c>
      <c r="B6" s="154"/>
      <c r="C6" s="154"/>
      <c r="D6" s="154"/>
      <c r="E6" s="154"/>
      <c r="F6" s="154"/>
      <c r="G6" s="154"/>
      <c r="H6" s="154"/>
      <c r="I6" s="154"/>
    </row>
    <row r="7" spans="1:9" x14ac:dyDescent="0.25">
      <c r="A7" s="155" t="s">
        <v>590</v>
      </c>
      <c r="B7" s="154"/>
      <c r="C7" s="154"/>
      <c r="D7" s="154"/>
      <c r="E7" s="154"/>
      <c r="F7" s="154"/>
      <c r="G7" s="154"/>
      <c r="H7" s="154"/>
      <c r="I7" s="154"/>
    </row>
    <row r="8" spans="1:9" x14ac:dyDescent="0.25">
      <c r="A8" s="154" t="s">
        <v>328</v>
      </c>
      <c r="B8" s="154"/>
      <c r="C8" s="154"/>
      <c r="D8" s="154"/>
      <c r="E8" s="154"/>
      <c r="F8" s="154"/>
      <c r="G8" s="154"/>
      <c r="H8" s="154"/>
      <c r="I8" s="154"/>
    </row>
    <row r="9" spans="1:9" x14ac:dyDescent="0.25">
      <c r="A9" s="154" t="s">
        <v>591</v>
      </c>
      <c r="B9" s="154"/>
      <c r="C9" s="154"/>
      <c r="D9" s="154"/>
      <c r="E9" s="154"/>
      <c r="F9" s="154"/>
      <c r="G9" s="154"/>
      <c r="H9" s="154"/>
      <c r="I9" s="154"/>
    </row>
    <row r="10" spans="1:9" x14ac:dyDescent="0.25">
      <c r="A10" s="1"/>
      <c r="B10" s="106"/>
      <c r="C10" s="106"/>
      <c r="D10" s="106"/>
      <c r="E10" s="106"/>
      <c r="F10" s="106"/>
      <c r="G10" s="106"/>
      <c r="H10" s="106"/>
      <c r="I10" s="106"/>
    </row>
    <row r="11" spans="1:9" x14ac:dyDescent="0.25">
      <c r="A11" s="1"/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">
        <v>6</v>
      </c>
      <c r="H11" s="1">
        <v>6</v>
      </c>
      <c r="I11" s="1">
        <v>7</v>
      </c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5">
      <c r="A13" s="1"/>
      <c r="B13" s="1"/>
      <c r="C13" s="1"/>
      <c r="D13" s="156" t="s">
        <v>332</v>
      </c>
      <c r="E13" s="1"/>
      <c r="F13" s="1"/>
      <c r="G13" s="106"/>
      <c r="H13" s="156" t="s">
        <v>333</v>
      </c>
      <c r="I13" s="1" t="s">
        <v>277</v>
      </c>
    </row>
    <row r="14" spans="1:9" x14ac:dyDescent="0.25">
      <c r="A14" s="1" t="s">
        <v>14</v>
      </c>
      <c r="B14" s="1"/>
      <c r="C14" s="1"/>
      <c r="D14" s="1" t="s">
        <v>335</v>
      </c>
      <c r="E14" s="1" t="s">
        <v>277</v>
      </c>
      <c r="F14" s="1"/>
      <c r="G14" s="156" t="s">
        <v>336</v>
      </c>
      <c r="H14" s="156" t="s">
        <v>337</v>
      </c>
      <c r="I14" s="1" t="s">
        <v>338</v>
      </c>
    </row>
    <row r="15" spans="1:9" x14ac:dyDescent="0.25">
      <c r="A15" s="1" t="s">
        <v>30</v>
      </c>
      <c r="B15" s="1" t="s">
        <v>342</v>
      </c>
      <c r="C15" s="1" t="s">
        <v>343</v>
      </c>
      <c r="D15" s="1" t="s">
        <v>344</v>
      </c>
      <c r="E15" s="156" t="s">
        <v>345</v>
      </c>
      <c r="F15" s="1" t="s">
        <v>346</v>
      </c>
      <c r="G15" s="1" t="s">
        <v>347</v>
      </c>
      <c r="H15" s="1" t="s">
        <v>344</v>
      </c>
      <c r="I15" s="1" t="s">
        <v>348</v>
      </c>
    </row>
    <row r="16" spans="1:9" x14ac:dyDescent="0.25">
      <c r="A16" s="1"/>
      <c r="B16" s="1"/>
      <c r="C16" s="1"/>
      <c r="D16" s="1"/>
      <c r="E16" s="1"/>
      <c r="F16" s="1"/>
      <c r="G16" s="106"/>
      <c r="H16" s="161" t="s">
        <v>352</v>
      </c>
      <c r="I16" s="1" t="s">
        <v>353</v>
      </c>
    </row>
    <row r="17" spans="1:9" x14ac:dyDescent="0.25">
      <c r="A17" s="1"/>
      <c r="B17" s="1"/>
      <c r="C17" s="1" t="s">
        <v>37</v>
      </c>
      <c r="D17" s="1" t="s">
        <v>37</v>
      </c>
      <c r="E17" s="1" t="s">
        <v>37</v>
      </c>
      <c r="F17" s="1" t="s">
        <v>37</v>
      </c>
      <c r="G17" s="1" t="s">
        <v>37</v>
      </c>
      <c r="H17" s="1" t="s">
        <v>37</v>
      </c>
      <c r="I17" s="1"/>
    </row>
    <row r="18" spans="1:9" x14ac:dyDescent="0.25">
      <c r="A18" s="1"/>
      <c r="B18" s="106"/>
      <c r="C18" s="106"/>
      <c r="D18" s="106"/>
      <c r="E18" s="106"/>
      <c r="F18" s="106"/>
      <c r="G18" s="106"/>
      <c r="H18" s="106"/>
      <c r="I18" s="106"/>
    </row>
    <row r="19" spans="1:9" x14ac:dyDescent="0.25">
      <c r="A19" s="1"/>
      <c r="B19" s="106"/>
      <c r="C19" s="106"/>
      <c r="D19" s="106"/>
      <c r="E19" s="106"/>
      <c r="F19" s="106"/>
      <c r="G19" s="106"/>
      <c r="H19" s="162"/>
      <c r="I19" s="106"/>
    </row>
    <row r="20" spans="1:9" x14ac:dyDescent="0.25">
      <c r="A20" s="1"/>
      <c r="B20" s="2" t="s">
        <v>328</v>
      </c>
      <c r="C20" s="163"/>
      <c r="D20" s="163"/>
      <c r="E20" s="106"/>
      <c r="F20" s="106"/>
      <c r="G20" s="106"/>
      <c r="H20" s="166"/>
      <c r="I20" s="166"/>
    </row>
    <row r="21" spans="1:9" x14ac:dyDescent="0.25">
      <c r="A21" s="1">
        <v>1</v>
      </c>
      <c r="B21" s="5" t="s">
        <v>224</v>
      </c>
      <c r="C21" s="167">
        <f>'Schedule G Rev to Cost'!C21-'Schedule F Rev to Cost'!C21</f>
        <v>468000000.00000012</v>
      </c>
      <c r="D21" s="167">
        <f>'Schedule G Rev to Cost'!D21-'Schedule F Rev to Cost'!D21</f>
        <v>435587126.90141916</v>
      </c>
      <c r="E21" s="167">
        <f>'Schedule G Rev to Cost'!E21-'Schedule F Rev to Cost'!E21</f>
        <v>0</v>
      </c>
      <c r="F21" s="167">
        <f>'Schedule G Rev to Cost'!F21-'Schedule F Rev to Cost'!F21</f>
        <v>32409832.911331698</v>
      </c>
      <c r="G21" s="164">
        <f>'Schedule G Rev to Cost'!G21-'Schedule F Rev to Cost'!G21</f>
        <v>0</v>
      </c>
      <c r="H21" s="167">
        <f>'Schedule G Rev to Cost'!H21-'Schedule F Rev to Cost'!H21</f>
        <v>467996959.81275082</v>
      </c>
      <c r="I21" s="167">
        <f>'Schedule G Rev to Cost'!I21-'Schedule F Rev to Cost'!I21</f>
        <v>0</v>
      </c>
    </row>
    <row r="22" spans="1:9" x14ac:dyDescent="0.25">
      <c r="A22" s="1">
        <v>2</v>
      </c>
      <c r="B22" s="169" t="s">
        <v>355</v>
      </c>
      <c r="C22" s="167">
        <f>'Schedule G Rev to Cost'!C22-'Schedule F Rev to Cost'!C22</f>
        <v>0</v>
      </c>
      <c r="D22" s="167">
        <f>'Schedule G Rev to Cost'!D22-'Schedule F Rev to Cost'!D22</f>
        <v>0</v>
      </c>
      <c r="E22" s="167">
        <f>'Schedule G Rev to Cost'!E22-'Schedule F Rev to Cost'!E22</f>
        <v>0</v>
      </c>
      <c r="F22" s="167">
        <f>'Schedule G Rev to Cost'!F22-'Schedule F Rev to Cost'!F22</f>
        <v>0</v>
      </c>
      <c r="G22" s="167">
        <f>'Schedule G Rev to Cost'!G22-'Schedule F Rev to Cost'!G22</f>
        <v>0</v>
      </c>
      <c r="H22" s="170">
        <f>'Schedule G Rev to Cost'!H22-'Schedule F Rev to Cost'!H22</f>
        <v>0</v>
      </c>
      <c r="I22" s="149">
        <f>'Schedule G Rev to Cost'!I22-'Schedule F Rev to Cost'!I22</f>
        <v>0</v>
      </c>
    </row>
    <row r="23" spans="1:9" x14ac:dyDescent="0.25">
      <c r="A23" s="1">
        <v>3</v>
      </c>
      <c r="B23" s="169" t="s">
        <v>357</v>
      </c>
      <c r="C23" s="171">
        <f>'Schedule G Rev to Cost'!C23-'Schedule F Rev to Cost'!C23</f>
        <v>468000000.00000012</v>
      </c>
      <c r="D23" s="171">
        <f>'Schedule G Rev to Cost'!D23-'Schedule F Rev to Cost'!D23</f>
        <v>435587126.90141916</v>
      </c>
      <c r="E23" s="171">
        <f>'Schedule G Rev to Cost'!E23-'Schedule F Rev to Cost'!E23</f>
        <v>0</v>
      </c>
      <c r="F23" s="171">
        <f>'Schedule G Rev to Cost'!F23-'Schedule F Rev to Cost'!F23</f>
        <v>32409832.911331698</v>
      </c>
      <c r="G23" s="171">
        <f>'Schedule G Rev to Cost'!G23-'Schedule F Rev to Cost'!G23</f>
        <v>0</v>
      </c>
      <c r="H23" s="171">
        <f>'Schedule G Rev to Cost'!H23-'Schedule F Rev to Cost'!H23</f>
        <v>467996959.81275082</v>
      </c>
      <c r="I23" s="172">
        <f>'Schedule G Rev to Cost'!I23-'Schedule F Rev to Cost'!I23</f>
        <v>-1.5076332633647382E-2</v>
      </c>
    </row>
    <row r="24" spans="1:9" x14ac:dyDescent="0.25">
      <c r="A24" s="1"/>
      <c r="B24" s="173"/>
      <c r="C24" s="167">
        <f>'Schedule G Rev to Cost'!C24-'Schedule F Rev to Cost'!C24</f>
        <v>0</v>
      </c>
      <c r="D24" s="167">
        <f>'Schedule G Rev to Cost'!D24-'Schedule F Rev to Cost'!D24</f>
        <v>0</v>
      </c>
      <c r="E24" s="167">
        <f>'Schedule G Rev to Cost'!E24-'Schedule F Rev to Cost'!E24</f>
        <v>0</v>
      </c>
      <c r="F24" s="167">
        <f>'Schedule G Rev to Cost'!F24-'Schedule F Rev to Cost'!F24</f>
        <v>0</v>
      </c>
      <c r="G24" s="106"/>
      <c r="H24" s="170">
        <f>'Schedule G Rev to Cost'!H24-'Schedule F Rev to Cost'!H24</f>
        <v>0</v>
      </c>
      <c r="I24" s="149">
        <f>'Schedule G Rev to Cost'!I24-'Schedule F Rev to Cost'!I24</f>
        <v>0</v>
      </c>
    </row>
    <row r="25" spans="1:9" x14ac:dyDescent="0.25">
      <c r="A25" s="1">
        <v>4</v>
      </c>
      <c r="B25" s="106" t="s">
        <v>359</v>
      </c>
      <c r="C25" s="167">
        <f>'Schedule G Rev to Cost'!C25-'Schedule F Rev to Cost'!C25</f>
        <v>34265938.440000013</v>
      </c>
      <c r="D25" s="167">
        <f>'Schedule G Rev to Cost'!D25-'Schedule F Rev to Cost'!D25</f>
        <v>34269260.353916042</v>
      </c>
      <c r="E25" s="167">
        <f>'Schedule G Rev to Cost'!E25-'Schedule F Rev to Cost'!E25</f>
        <v>0</v>
      </c>
      <c r="F25" s="167">
        <f>'Schedule G Rev to Cost'!F25-'Schedule F Rev to Cost'!F25</f>
        <v>0</v>
      </c>
      <c r="G25" s="106"/>
      <c r="H25" s="167">
        <f>'Schedule G Rev to Cost'!H25-'Schedule F Rev to Cost'!H25</f>
        <v>34269260.353916042</v>
      </c>
      <c r="I25" s="149">
        <f>'Schedule G Rev to Cost'!I25-'Schedule F Rev to Cost'!I25</f>
        <v>-4.2894261438441994E-5</v>
      </c>
    </row>
    <row r="26" spans="1:9" x14ac:dyDescent="0.25">
      <c r="A26" s="1">
        <v>5</v>
      </c>
      <c r="B26" s="5" t="s">
        <v>360</v>
      </c>
      <c r="C26" s="167">
        <f>'Schedule G Rev to Cost'!C26-'Schedule F Rev to Cost'!C26</f>
        <v>0</v>
      </c>
      <c r="D26" s="167">
        <f>'Schedule G Rev to Cost'!D26-'Schedule F Rev to Cost'!D26</f>
        <v>0</v>
      </c>
      <c r="E26" s="167">
        <f>'Schedule G Rev to Cost'!E26-'Schedule F Rev to Cost'!E26</f>
        <v>0</v>
      </c>
      <c r="F26" s="167">
        <f>'Schedule G Rev to Cost'!F26-'Schedule F Rev to Cost'!F26</f>
        <v>0</v>
      </c>
      <c r="G26" s="106"/>
      <c r="H26" s="167">
        <f>'Schedule G Rev to Cost'!H26-'Schedule F Rev to Cost'!H26</f>
        <v>0</v>
      </c>
      <c r="I26" s="149">
        <f>'Schedule G Rev to Cost'!I26-'Schedule F Rev to Cost'!I26</f>
        <v>0</v>
      </c>
    </row>
    <row r="27" spans="1:9" x14ac:dyDescent="0.25">
      <c r="A27" s="1">
        <v>6</v>
      </c>
      <c r="B27" s="106" t="s">
        <v>361</v>
      </c>
      <c r="C27" s="167">
        <f>'Schedule G Rev to Cost'!C27-'Schedule F Rev to Cost'!C27</f>
        <v>-2.2830719128251076E-2</v>
      </c>
      <c r="D27" s="167">
        <f>'Schedule G Rev to Cost'!D27-'Schedule F Rev to Cost'!D27</f>
        <v>0</v>
      </c>
      <c r="E27" s="167">
        <f>'Schedule G Rev to Cost'!E27-'Schedule F Rev to Cost'!E27</f>
        <v>0</v>
      </c>
      <c r="F27" s="167">
        <f>'Schedule G Rev to Cost'!F27-'Schedule F Rev to Cost'!F27</f>
        <v>0</v>
      </c>
      <c r="G27" s="106"/>
      <c r="H27" s="170">
        <f>'Schedule G Rev to Cost'!H27-'Schedule F Rev to Cost'!H27</f>
        <v>0</v>
      </c>
      <c r="I27" s="149">
        <f>'Schedule G Rev to Cost'!I27-'Schedule F Rev to Cost'!I27</f>
        <v>-2.4891213534772305E-9</v>
      </c>
    </row>
    <row r="28" spans="1:9" x14ac:dyDescent="0.25">
      <c r="A28" s="1">
        <v>7</v>
      </c>
      <c r="B28" s="106" t="s">
        <v>362</v>
      </c>
      <c r="C28" s="167">
        <f>'Schedule G Rev to Cost'!C28-'Schedule F Rev to Cost'!C28</f>
        <v>0</v>
      </c>
      <c r="D28" s="167">
        <f>'Schedule G Rev to Cost'!D28-'Schedule F Rev to Cost'!D28</f>
        <v>0</v>
      </c>
      <c r="E28" s="167">
        <f>'Schedule G Rev to Cost'!E28-'Schedule F Rev to Cost'!E28</f>
        <v>0</v>
      </c>
      <c r="F28" s="167">
        <f>'Schedule G Rev to Cost'!F28-'Schedule F Rev to Cost'!F28</f>
        <v>0</v>
      </c>
      <c r="G28" s="106"/>
      <c r="H28" s="170">
        <f>'Schedule G Rev to Cost'!H28-'Schedule F Rev to Cost'!H28</f>
        <v>0</v>
      </c>
      <c r="I28" s="149">
        <f>'Schedule G Rev to Cost'!I28-'Schedule F Rev to Cost'!I28</f>
        <v>0</v>
      </c>
    </row>
    <row r="29" spans="1:9" x14ac:dyDescent="0.25">
      <c r="A29" s="1">
        <v>8</v>
      </c>
      <c r="B29" s="106" t="s">
        <v>364</v>
      </c>
      <c r="C29" s="167">
        <f>'Schedule G Rev to Cost'!C29-'Schedule F Rev to Cost'!C29</f>
        <v>-299787.72214280069</v>
      </c>
      <c r="D29" s="167">
        <f>'Schedule G Rev to Cost'!D29-'Schedule F Rev to Cost'!D29</f>
        <v>0</v>
      </c>
      <c r="E29" s="167">
        <f>'Schedule G Rev to Cost'!E29-'Schedule F Rev to Cost'!E29</f>
        <v>0</v>
      </c>
      <c r="F29" s="167">
        <f>'Schedule G Rev to Cost'!F29-'Schedule F Rev to Cost'!F29</f>
        <v>-302236.78259416227</v>
      </c>
      <c r="G29" s="106"/>
      <c r="H29" s="170">
        <f>'Schedule G Rev to Cost'!H29-'Schedule F Rev to Cost'!H29</f>
        <v>-302236.78259416297</v>
      </c>
      <c r="I29" s="149">
        <f>'Schedule G Rev to Cost'!I29-'Schedule F Rev to Cost'!I29</f>
        <v>-1.4960198829156779E-2</v>
      </c>
    </row>
    <row r="30" spans="1:9" x14ac:dyDescent="0.25">
      <c r="A30" s="1"/>
      <c r="B30" s="106"/>
      <c r="C30" s="163">
        <f>'Schedule G Rev to Cost'!C30-'Schedule F Rev to Cost'!C30</f>
        <v>0</v>
      </c>
      <c r="D30" s="163">
        <f>'Schedule G Rev to Cost'!D30-'Schedule F Rev to Cost'!D30</f>
        <v>0</v>
      </c>
      <c r="E30" s="163">
        <f>'Schedule G Rev to Cost'!E30-'Schedule F Rev to Cost'!E30</f>
        <v>0</v>
      </c>
      <c r="F30" s="163">
        <f>'Schedule G Rev to Cost'!F30-'Schedule F Rev to Cost'!F30</f>
        <v>0</v>
      </c>
      <c r="G30" s="106"/>
      <c r="H30" s="163">
        <f>'Schedule G Rev to Cost'!H30-'Schedule F Rev to Cost'!H30</f>
        <v>0</v>
      </c>
      <c r="I30" s="149">
        <f>'Schedule G Rev to Cost'!I30-'Schedule F Rev to Cost'!I30</f>
        <v>0</v>
      </c>
    </row>
    <row r="31" spans="1:9" x14ac:dyDescent="0.25">
      <c r="A31" s="1"/>
      <c r="B31" s="174" t="s">
        <v>367</v>
      </c>
      <c r="C31" s="175">
        <f>'Schedule G Rev to Cost'!C31-'Schedule F Rev to Cost'!C31</f>
        <v>0</v>
      </c>
      <c r="D31" s="175">
        <f>'Schedule G Rev to Cost'!D31-'Schedule F Rev to Cost'!D31</f>
        <v>0</v>
      </c>
      <c r="E31" s="175">
        <f>'Schedule G Rev to Cost'!E31-'Schedule F Rev to Cost'!E31</f>
        <v>0</v>
      </c>
      <c r="F31" s="175">
        <f>'Schedule G Rev to Cost'!F31-'Schedule F Rev to Cost'!F31</f>
        <v>0</v>
      </c>
      <c r="G31" s="106"/>
      <c r="H31" s="170">
        <f>'Schedule G Rev to Cost'!H31-'Schedule F Rev to Cost'!H31</f>
        <v>0</v>
      </c>
      <c r="I31" s="149">
        <f>'Schedule G Rev to Cost'!I31-'Schedule F Rev to Cost'!I31</f>
        <v>0</v>
      </c>
    </row>
    <row r="32" spans="1:9" x14ac:dyDescent="0.25">
      <c r="A32" s="1">
        <v>9</v>
      </c>
      <c r="B32" s="106" t="s">
        <v>0</v>
      </c>
      <c r="C32" s="167">
        <f>'Schedule G Rev to Cost'!C32-'Schedule F Rev to Cost'!C32</f>
        <v>0</v>
      </c>
      <c r="D32" s="167">
        <f>'Schedule G Rev to Cost'!D32-'Schedule F Rev to Cost'!D32</f>
        <v>32107596.128737539</v>
      </c>
      <c r="E32" s="167">
        <f>'Schedule G Rev to Cost'!E32-'Schedule F Rev to Cost'!E32</f>
        <v>0</v>
      </c>
      <c r="F32" s="170">
        <f>'Schedule G Rev to Cost'!F32-'Schedule F Rev to Cost'!F32</f>
        <v>-32107596.128737539</v>
      </c>
      <c r="G32" s="106"/>
      <c r="H32" s="170">
        <f>'Schedule G Rev to Cost'!H32-'Schedule F Rev to Cost'!H32</f>
        <v>0</v>
      </c>
      <c r="I32" s="149">
        <f>'Schedule G Rev to Cost'!I32-'Schedule F Rev to Cost'!I32</f>
        <v>-0.21218029168123143</v>
      </c>
    </row>
    <row r="33" spans="1:9" x14ac:dyDescent="0.25">
      <c r="A33" s="1">
        <v>10</v>
      </c>
      <c r="B33" s="106" t="s">
        <v>368</v>
      </c>
      <c r="C33" s="167">
        <f>'Schedule G Rev to Cost'!C33-'Schedule F Rev to Cost'!C33</f>
        <v>0</v>
      </c>
      <c r="D33" s="167">
        <f>'Schedule G Rev to Cost'!D33-'Schedule F Rev to Cost'!D33</f>
        <v>0</v>
      </c>
      <c r="E33" s="167">
        <f>'Schedule G Rev to Cost'!E33-'Schedule F Rev to Cost'!E33</f>
        <v>0</v>
      </c>
      <c r="F33" s="170">
        <f>'Schedule G Rev to Cost'!F33-'Schedule F Rev to Cost'!F33</f>
        <v>0</v>
      </c>
      <c r="G33" s="106"/>
      <c r="H33" s="170">
        <f>'Schedule G Rev to Cost'!H33-'Schedule F Rev to Cost'!H33</f>
        <v>0</v>
      </c>
      <c r="I33" s="149">
        <f>'Schedule G Rev to Cost'!I33-'Schedule F Rev to Cost'!I33</f>
        <v>0</v>
      </c>
    </row>
    <row r="34" spans="1:9" x14ac:dyDescent="0.25">
      <c r="A34" s="1">
        <v>11</v>
      </c>
      <c r="B34" s="106" t="s">
        <v>369</v>
      </c>
      <c r="C34" s="167">
        <f>'Schedule G Rev to Cost'!C34-'Schedule F Rev to Cost'!C34</f>
        <v>0</v>
      </c>
      <c r="D34" s="167">
        <f>'Schedule G Rev to Cost'!D34-'Schedule F Rev to Cost'!D34</f>
        <v>0</v>
      </c>
      <c r="E34" s="167">
        <f>'Schedule G Rev to Cost'!E34-'Schedule F Rev to Cost'!E34</f>
        <v>0</v>
      </c>
      <c r="F34" s="170">
        <f>'Schedule G Rev to Cost'!F34-'Schedule F Rev to Cost'!F34</f>
        <v>0</v>
      </c>
      <c r="G34" s="106"/>
      <c r="H34" s="170">
        <f>'Schedule G Rev to Cost'!H34-'Schedule F Rev to Cost'!H34</f>
        <v>0</v>
      </c>
      <c r="I34" s="149">
        <f>'Schedule G Rev to Cost'!I34-'Schedule F Rev to Cost'!I34</f>
        <v>0</v>
      </c>
    </row>
    <row r="35" spans="1:9" x14ac:dyDescent="0.25">
      <c r="A35" s="1">
        <v>12</v>
      </c>
      <c r="B35" s="106" t="s">
        <v>370</v>
      </c>
      <c r="C35" s="167">
        <f>'Schedule G Rev to Cost'!C35-'Schedule F Rev to Cost'!C35</f>
        <v>0</v>
      </c>
      <c r="D35" s="167">
        <f>'Schedule G Rev to Cost'!D35-'Schedule F Rev to Cost'!D35</f>
        <v>0</v>
      </c>
      <c r="E35" s="167">
        <f>'Schedule G Rev to Cost'!E35-'Schedule F Rev to Cost'!E35</f>
        <v>0</v>
      </c>
      <c r="F35" s="170">
        <f>'Schedule G Rev to Cost'!F35-'Schedule F Rev to Cost'!F35</f>
        <v>0</v>
      </c>
      <c r="G35" s="106"/>
      <c r="H35" s="178">
        <f>'Schedule G Rev to Cost'!H35-'Schedule F Rev to Cost'!H35</f>
        <v>0</v>
      </c>
      <c r="I35" s="149">
        <f>'Schedule G Rev to Cost'!I35-'Schedule F Rev to Cost'!I35</f>
        <v>0</v>
      </c>
    </row>
    <row r="36" spans="1:9" x14ac:dyDescent="0.25">
      <c r="A36" s="1">
        <v>13</v>
      </c>
      <c r="B36" s="106" t="s">
        <v>371</v>
      </c>
      <c r="C36" s="167">
        <f>'Schedule G Rev to Cost'!C36-'Schedule F Rev to Cost'!C36</f>
        <v>0</v>
      </c>
      <c r="D36" s="167">
        <f>'Schedule G Rev to Cost'!D36-'Schedule F Rev to Cost'!D36</f>
        <v>0</v>
      </c>
      <c r="E36" s="167">
        <f>'Schedule G Rev to Cost'!E36-'Schedule F Rev to Cost'!E36</f>
        <v>0</v>
      </c>
      <c r="F36" s="170">
        <f>'Schedule G Rev to Cost'!F36-'Schedule F Rev to Cost'!F36</f>
        <v>0</v>
      </c>
      <c r="G36" s="106"/>
      <c r="H36" s="178">
        <f>'Schedule G Rev to Cost'!H36-'Schedule F Rev to Cost'!H36</f>
        <v>0</v>
      </c>
      <c r="I36" s="149">
        <f>'Schedule G Rev to Cost'!I36-'Schedule F Rev to Cost'!I36</f>
        <v>0</v>
      </c>
    </row>
    <row r="37" spans="1:9" x14ac:dyDescent="0.25">
      <c r="A37" s="1"/>
      <c r="B37" s="106"/>
      <c r="C37" s="167">
        <f>'Schedule G Rev to Cost'!C37-'Schedule F Rev to Cost'!C37</f>
        <v>0</v>
      </c>
      <c r="D37" s="167">
        <f>'Schedule G Rev to Cost'!D37-'Schedule F Rev to Cost'!D37</f>
        <v>0</v>
      </c>
      <c r="E37" s="167">
        <f>'Schedule G Rev to Cost'!E37-'Schedule F Rev to Cost'!E37</f>
        <v>0</v>
      </c>
      <c r="F37" s="178">
        <f>'Schedule G Rev to Cost'!F37-'Schedule F Rev to Cost'!F37</f>
        <v>0</v>
      </c>
      <c r="G37" s="106"/>
      <c r="H37" s="178">
        <f>'Schedule G Rev to Cost'!H37-'Schedule F Rev to Cost'!H37</f>
        <v>0</v>
      </c>
      <c r="I37" s="180">
        <f>'Schedule G Rev to Cost'!I37-'Schedule F Rev to Cost'!I37</f>
        <v>0</v>
      </c>
    </row>
    <row r="38" spans="1:9" x14ac:dyDescent="0.25">
      <c r="A38" s="1">
        <v>14</v>
      </c>
      <c r="B38" s="2" t="s">
        <v>270</v>
      </c>
      <c r="C38" s="181">
        <f>'Schedule G Rev to Cost'!C38-'Schedule F Rev to Cost'!C38</f>
        <v>0</v>
      </c>
      <c r="D38" s="181">
        <f>'Schedule G Rev to Cost'!D38-'Schedule F Rev to Cost'!D38</f>
        <v>32107596.128737509</v>
      </c>
      <c r="E38" s="181">
        <f>'Schedule G Rev to Cost'!E38-'Schedule F Rev to Cost'!E38</f>
        <v>0</v>
      </c>
      <c r="F38" s="181">
        <f>'Schedule G Rev to Cost'!F38-'Schedule F Rev to Cost'!F38</f>
        <v>-32107596.128737539</v>
      </c>
      <c r="G38" s="181">
        <f>'Schedule G Rev to Cost'!G38-'Schedule F Rev to Cost'!G38</f>
        <v>0</v>
      </c>
      <c r="H38" s="181">
        <f>'Schedule G Rev to Cost'!H38-'Schedule F Rev to Cost'!H38</f>
        <v>0</v>
      </c>
      <c r="I38" s="182">
        <f>'Schedule G Rev to Cost'!I38-'Schedule F Rev to Cost'!I38</f>
        <v>-9.987083365843763E-2</v>
      </c>
    </row>
    <row r="39" spans="1:9" x14ac:dyDescent="0.25">
      <c r="A39" s="1"/>
      <c r="B39" s="106"/>
      <c r="C39" s="170">
        <f>'Schedule G Rev to Cost'!C39-'Schedule F Rev to Cost'!C39</f>
        <v>0</v>
      </c>
      <c r="D39" s="170">
        <f>'Schedule G Rev to Cost'!D39-'Schedule F Rev to Cost'!D39</f>
        <v>0</v>
      </c>
      <c r="E39" s="170">
        <f>'Schedule G Rev to Cost'!E39-'Schedule F Rev to Cost'!E39</f>
        <v>0</v>
      </c>
      <c r="F39" s="170">
        <f>'Schedule G Rev to Cost'!F39-'Schedule F Rev to Cost'!F39</f>
        <v>0</v>
      </c>
      <c r="G39" s="106"/>
      <c r="H39" s="170">
        <f>'Schedule G Rev to Cost'!H39-'Schedule F Rev to Cost'!H39</f>
        <v>0</v>
      </c>
      <c r="I39" s="183">
        <f>'Schedule G Rev to Cost'!I39-'Schedule F Rev to Cost'!I39</f>
        <v>0</v>
      </c>
    </row>
    <row r="40" spans="1:9" ht="15.75" thickBot="1" x14ac:dyDescent="0.3">
      <c r="A40" s="1">
        <v>15</v>
      </c>
      <c r="B40" s="2" t="s">
        <v>15</v>
      </c>
      <c r="C40" s="184">
        <f>'Schedule G Rev to Cost'!C40-'Schedule F Rev to Cost'!C40</f>
        <v>501966150.6950264</v>
      </c>
      <c r="D40" s="184">
        <f>'Schedule G Rev to Cost'!D40-'Schedule F Rev to Cost'!D40</f>
        <v>501963983.38407254</v>
      </c>
      <c r="E40" s="184">
        <f>'Schedule G Rev to Cost'!E40-'Schedule F Rev to Cost'!E40</f>
        <v>0</v>
      </c>
      <c r="F40" s="184">
        <f>'Schedule G Rev to Cost'!F40-'Schedule F Rev to Cost'!F40</f>
        <v>0</v>
      </c>
      <c r="G40" s="184">
        <f>'Schedule G Rev to Cost'!G40-'Schedule F Rev to Cost'!G40</f>
        <v>0</v>
      </c>
      <c r="H40" s="184">
        <f>'Schedule G Rev to Cost'!H40-'Schedule F Rev to Cost'!H40</f>
        <v>501963983.38407266</v>
      </c>
      <c r="I40" s="185">
        <f>'Schedule G Rev to Cost'!I40-'Schedule F Rev to Cost'!I40</f>
        <v>3.5220352576637026E-6</v>
      </c>
    </row>
    <row r="41" spans="1:9" ht="15.75" thickTop="1" x14ac:dyDescent="0.25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8CAA28301B644C8655AE404106E0E9" ma:contentTypeVersion="11" ma:contentTypeDescription="Create a new document." ma:contentTypeScope="" ma:versionID="568fdbaf1a5081bc1a8afb5f8f42c154">
  <xsd:schema xmlns:xsd="http://www.w3.org/2001/XMLSchema" xmlns:xs="http://www.w3.org/2001/XMLSchema" xmlns:p="http://schemas.microsoft.com/office/2006/metadata/properties" xmlns:ns2="881A77B9-8CB8-4322-BFDB-053E2C2CD82C" xmlns:ns3="e99d5e2b-6807-428e-89e8-c4050aaa2c2e" xmlns:ns4="881a77b9-8cb8-4322-bfdb-053e2c2cd82c" targetNamespace="http://schemas.microsoft.com/office/2006/metadata/properties" ma:root="true" ma:fieldsID="18c6cac4527ea1482511aec3274087e7" ns2:_="" ns3:_="" ns4:_="">
    <xsd:import namespace="881A77B9-8CB8-4322-BFDB-053E2C2CD82C"/>
    <xsd:import namespace="e99d5e2b-6807-428e-89e8-c4050aaa2c2e"/>
    <xsd:import namespace="881a77b9-8cb8-4322-bfdb-053e2c2cd82c"/>
    <xsd:element name="properties">
      <xsd:complexType>
        <xsd:sequence>
          <xsd:element name="documentManagement">
            <xsd:complexType>
              <xsd:all>
                <xsd:element ref="ns2:Writer" minOccurs="0"/>
                <xsd:element ref="ns3:SharedWithUsers" minOccurs="0"/>
                <xsd:element ref="ns3:SharedWithDetails" minOccurs="0"/>
                <xsd:element ref="ns4:Batch_x0020__x0023_" minOccurs="0"/>
                <xsd:element ref="ns4:Theme" minOccurs="0"/>
                <xsd:element ref="ns4:Sub_x002d_The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A77B9-8CB8-4322-BFDB-053E2C2CD82C" elementFormDefault="qualified">
    <xsd:import namespace="http://schemas.microsoft.com/office/2006/documentManagement/types"/>
    <xsd:import namespace="http://schemas.microsoft.com/office/infopath/2007/PartnerControls"/>
    <xsd:element name="Writer" ma:index="8" nillable="true" ma:displayName="Writer" ma:internalName="Writ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9d5e2b-6807-428e-89e8-c4050aaa2c2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a77b9-8cb8-4322-bfdb-053e2c2cd82c" elementFormDefault="qualified">
    <xsd:import namespace="http://schemas.microsoft.com/office/2006/documentManagement/types"/>
    <xsd:import namespace="http://schemas.microsoft.com/office/infopath/2007/PartnerControls"/>
    <xsd:element name="Batch_x0020__x0023_" ma:index="14" nillable="true" ma:displayName="Batch #" ma:format="Dropdown" ma:internalName="Batch_x0020__x0023_">
      <xsd:simpleType>
        <xsd:restriction base="dms:Choice">
          <xsd:enumeration value="1"/>
          <xsd:enumeration value="2"/>
          <xsd:enumeration value="3"/>
        </xsd:restriction>
      </xsd:simpleType>
    </xsd:element>
    <xsd:element name="Theme" ma:index="15" nillable="true" ma:displayName="Theme" ma:internalName="Theme">
      <xsd:simpleType>
        <xsd:restriction base="dms:Text">
          <xsd:maxLength value="255"/>
        </xsd:restriction>
      </xsd:simpleType>
    </xsd:element>
    <xsd:element name="Sub_x002d_Theme" ma:index="16" nillable="true" ma:displayName="Sub-Theme" ma:internalName="Sub_x002d_Them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heme xmlns="881a77b9-8cb8-4322-bfdb-053e2c2cd82c">Send Excel Attachment</Theme>
    <Writer xmlns="881A77B9-8CB8-4322-BFDB-053E2C2CD82C" xsi:nil="true"/>
    <Batch_x0020__x0023_ xmlns="881a77b9-8cb8-4322-bfdb-053e2c2cd82c" xsi:nil="true"/>
    <Sub_x002d_Theme xmlns="881a77b9-8cb8-4322-bfdb-053e2c2cd82c" xsi:nil="true"/>
  </documentManagement>
</p:properties>
</file>

<file path=customXml/itemProps1.xml><?xml version="1.0" encoding="utf-8"?>
<ds:datastoreItem xmlns:ds="http://schemas.openxmlformats.org/officeDocument/2006/customXml" ds:itemID="{23870977-311C-47B0-A8CD-34DB5FBAE2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1A77B9-8CB8-4322-BFDB-053E2C2CD82C"/>
    <ds:schemaRef ds:uri="e99d5e2b-6807-428e-89e8-c4050aaa2c2e"/>
    <ds:schemaRef ds:uri="881a77b9-8cb8-4322-bfdb-053e2c2cd8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94E5F1-B52F-48F3-8832-CCA61931A7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40D262-9CEE-4EAE-A3E9-8E2E1298924E}">
  <ds:schemaRefs>
    <ds:schemaRef ds:uri="e99d5e2b-6807-428e-89e8-c4050aaa2c2e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881A77B9-8CB8-4322-BFDB-053E2C2CD82C"/>
    <ds:schemaRef ds:uri="http://purl.org/dc/elements/1.1/"/>
    <ds:schemaRef ds:uri="http://schemas.openxmlformats.org/package/2006/metadata/core-properties"/>
    <ds:schemaRef ds:uri="881a77b9-8cb8-4322-bfdb-053e2c2cd82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46</vt:i4>
      </vt:variant>
    </vt:vector>
  </HeadingPairs>
  <TitlesOfParts>
    <vt:vector size="52" baseType="lpstr">
      <vt:lpstr>Schedule F Rev to Cost</vt:lpstr>
      <vt:lpstr>Schedule F IslIntCos</vt:lpstr>
      <vt:lpstr>Schedule G IslIntCos</vt:lpstr>
      <vt:lpstr>Schedule G Rev to Cost</vt:lpstr>
      <vt:lpstr>A) Changes to Customer Costs</vt:lpstr>
      <vt:lpstr>B) Changes to Rev to Cost</vt:lpstr>
      <vt:lpstr>'Schedule F IslIntCos'!Print_Area</vt:lpstr>
      <vt:lpstr>'Schedule F Rev to Cost'!Print_Area</vt:lpstr>
      <vt:lpstr>'Schedule G IslIntCos'!Print_Area</vt:lpstr>
      <vt:lpstr>'Schedule G Rev to Cost'!Print_Area</vt:lpstr>
      <vt:lpstr>'Schedule F IslIntCos'!Print_Titles</vt:lpstr>
      <vt:lpstr>'Schedule G IslIntCos'!Print_Titles</vt:lpstr>
      <vt:lpstr>'Schedule G IslIntCos'!PRT_IINT2.1</vt:lpstr>
      <vt:lpstr>PRT_IINT2.1</vt:lpstr>
      <vt:lpstr>'Schedule G IslIntCos'!Prt_IINT2.1p2</vt:lpstr>
      <vt:lpstr>Prt_IINT2.1p2</vt:lpstr>
      <vt:lpstr>'Schedule G IslIntCos'!PRT_IINT2.2</vt:lpstr>
      <vt:lpstr>PRT_IINT2.2</vt:lpstr>
      <vt:lpstr>'Schedule G IslIntCos'!Prt_IINT2.2p2</vt:lpstr>
      <vt:lpstr>Prt_IINT2.2p2</vt:lpstr>
      <vt:lpstr>'Schedule G IslIntCos'!PRT_IINT2.3</vt:lpstr>
      <vt:lpstr>PRT_IINT2.3</vt:lpstr>
      <vt:lpstr>'Schedule G IslIntCos'!PRT_IINT2.4</vt:lpstr>
      <vt:lpstr>PRT_IINT2.4</vt:lpstr>
      <vt:lpstr>'Schedule G IslIntCos'!Prt_IINT2.4p2</vt:lpstr>
      <vt:lpstr>Prt_IINT2.4p2</vt:lpstr>
      <vt:lpstr>'Schedule G IslIntCos'!PRT_IINT2.5</vt:lpstr>
      <vt:lpstr>PRT_IINT2.5</vt:lpstr>
      <vt:lpstr>'Schedule G IslIntCos'!PRT_IINT2.6</vt:lpstr>
      <vt:lpstr>PRT_IINT2.6</vt:lpstr>
      <vt:lpstr>'Schedule G IslIntCos'!Prt_IINT2.6p2</vt:lpstr>
      <vt:lpstr>Prt_IINT2.6p2</vt:lpstr>
      <vt:lpstr>'Schedule G IslIntCos'!Prt_IINT3.1p1</vt:lpstr>
      <vt:lpstr>Prt_IINT3.1p1</vt:lpstr>
      <vt:lpstr>'Schedule G IslIntCos'!Prt_IINT3.1p2</vt:lpstr>
      <vt:lpstr>Prt_IINT3.1p2</vt:lpstr>
      <vt:lpstr>'Schedule G IslIntCos'!Prt_IINT3.2p1</vt:lpstr>
      <vt:lpstr>Prt_IINT3.2p1</vt:lpstr>
      <vt:lpstr>'Schedule G IslIntCos'!Prt_IINT3.2p2</vt:lpstr>
      <vt:lpstr>Prt_IINT3.2p2</vt:lpstr>
      <vt:lpstr>'Schedule G IslIntCos'!Prt_IINT3.2p3</vt:lpstr>
      <vt:lpstr>Prt_IINT3.2p3</vt:lpstr>
      <vt:lpstr>'Schedule G IslIntCos'!Prt_IINT3.2p4</vt:lpstr>
      <vt:lpstr>Prt_IINT3.2p4</vt:lpstr>
      <vt:lpstr>'Schedule G IslIntCos'!Prt_IINT3.3</vt:lpstr>
      <vt:lpstr>Prt_IINT3.3</vt:lpstr>
      <vt:lpstr>'Schedule G Rev to Cost'!prt_tot1.2</vt:lpstr>
      <vt:lpstr>prt_tot1.2</vt:lpstr>
      <vt:lpstr>'Schedule G Rev to Cost'!PRT_TOT1.2.1</vt:lpstr>
      <vt:lpstr>PRT_TOT1.2.1</vt:lpstr>
      <vt:lpstr>'Schedule G IslIntCos'!RatiosIslInt</vt:lpstr>
      <vt:lpstr>RatiosIslInt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Jason Butt</dc:creator>
  <cp:lastModifiedBy>Michelle Compton</cp:lastModifiedBy>
  <dcterms:created xsi:type="dcterms:W3CDTF">2015-06-05T18:17:20Z</dcterms:created>
  <dcterms:modified xsi:type="dcterms:W3CDTF">2026-08-29T13:06:57Z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0x010100088CAA28301B644C8655AE404106E0E9</vt:lpwstr>
  </property>
</Properties>
</file>